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R00570\Desktop\Rekha\Yearly\"/>
    </mc:Choice>
  </mc:AlternateContent>
  <xr:revisionPtr revIDLastSave="0" documentId="13_ncr:1_{A511EF67-9083-4B3E-828B-A4C1CCE50359}" xr6:coauthVersionLast="36" xr6:coauthVersionMax="36" xr10:uidLastSave="{00000000-0000-0000-0000-000000000000}"/>
  <bookViews>
    <workbookView xWindow="22935" yWindow="2340" windowWidth="15570" windowHeight="11790" activeTab="2" xr2:uid="{00000000-000D-0000-FFFF-FFFF00000000}"/>
  </bookViews>
  <sheets>
    <sheet name="EPF" sheetId="1" r:id="rId1"/>
    <sheet name="CIT" sheetId="2" r:id="rId2"/>
    <sheet name="Insurance Companies" sheetId="3" r:id="rId3"/>
  </sheets>
  <definedNames>
    <definedName name="_xlnm.Print_Area" localSheetId="1">CIT!$A$1:$N$37</definedName>
    <definedName name="_xlnm.Print_Area" localSheetId="0">EPF!$A$1:$Z$33</definedName>
    <definedName name="_xlnm.Print_Area" localSheetId="2">'Insurance Companies'!$A$1:$P$37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 s="1"/>
  <c r="X18" i="1"/>
  <c r="M18" i="1" s="1"/>
  <c r="D19" i="1"/>
  <c r="E19" i="1" s="1"/>
  <c r="N19" i="1"/>
  <c r="R19" i="1" s="1"/>
  <c r="V19" i="1"/>
  <c r="W19" i="1" s="1"/>
  <c r="Z19" i="1"/>
  <c r="D20" i="1"/>
  <c r="E20" i="1" s="1"/>
  <c r="R20" i="1"/>
  <c r="V20" i="1"/>
  <c r="AA20" i="1" s="1"/>
  <c r="W20" i="1"/>
  <c r="C21" i="1"/>
  <c r="D21" i="1"/>
  <c r="N21" i="1"/>
  <c r="R21" i="1" s="1"/>
  <c r="O21" i="1"/>
  <c r="S21" i="1"/>
  <c r="U21" i="1"/>
  <c r="V21" i="1"/>
  <c r="X21" i="1"/>
  <c r="Y21" i="1"/>
  <c r="Z21" i="1"/>
  <c r="C22" i="1"/>
  <c r="D22" i="1"/>
  <c r="N22" i="1"/>
  <c r="O22" i="1"/>
  <c r="S22" i="1"/>
  <c r="U22" i="1"/>
  <c r="V22" i="1"/>
  <c r="W22" i="1"/>
  <c r="X22" i="1"/>
  <c r="Y22" i="1"/>
  <c r="Z22" i="1"/>
  <c r="C23" i="1"/>
  <c r="D23" i="1"/>
  <c r="N23" i="1"/>
  <c r="R23" i="1" s="1"/>
  <c r="O23" i="1"/>
  <c r="S23" i="1"/>
  <c r="U23" i="1"/>
  <c r="V23" i="1"/>
  <c r="X23" i="1"/>
  <c r="Y23" i="1"/>
  <c r="Z23" i="1"/>
  <c r="D24" i="1"/>
  <c r="E24" i="1" s="1"/>
  <c r="N24" i="1"/>
  <c r="O24" i="1"/>
  <c r="S24" i="1"/>
  <c r="U24" i="1"/>
  <c r="V24" i="1"/>
  <c r="X24" i="1"/>
  <c r="Y24" i="1"/>
  <c r="Z24" i="1"/>
  <c r="D25" i="1"/>
  <c r="AA25" i="1" s="1"/>
  <c r="R25" i="1"/>
  <c r="W25" i="1"/>
  <c r="C26" i="1"/>
  <c r="E26" i="1" s="1"/>
  <c r="R26" i="1"/>
  <c r="W26" i="1"/>
  <c r="X26" i="1"/>
  <c r="Z26" i="1"/>
  <c r="D27" i="1"/>
  <c r="E27" i="1"/>
  <c r="R27" i="1"/>
  <c r="W27" i="1"/>
  <c r="X27" i="1"/>
  <c r="E25" i="1" l="1"/>
  <c r="E22" i="1"/>
  <c r="M20" i="1"/>
  <c r="M27" i="1"/>
  <c r="AA27" i="1"/>
  <c r="AA26" i="1"/>
  <c r="M26" i="1"/>
  <c r="AA24" i="1"/>
  <c r="AA21" i="1"/>
  <c r="M25" i="1"/>
  <c r="E23" i="1"/>
  <c r="W21" i="1"/>
  <c r="M21" i="1" s="1"/>
  <c r="W23" i="1"/>
  <c r="M23" i="1" s="1"/>
  <c r="W24" i="1"/>
  <c r="R24" i="1"/>
  <c r="R22" i="1"/>
  <c r="M22" i="1" s="1"/>
  <c r="E21" i="1"/>
  <c r="AA19" i="1"/>
  <c r="M19" i="1"/>
  <c r="AA23" i="1"/>
  <c r="AA22" i="1"/>
  <c r="M24" i="1" l="1"/>
</calcChain>
</file>

<file path=xl/sharedStrings.xml><?xml version="1.0" encoding="utf-8"?>
<sst xmlns="http://schemas.openxmlformats.org/spreadsheetml/2006/main" count="219" uniqueCount="97">
  <si>
    <t>Source: Employees Provident Fund</t>
  </si>
  <si>
    <t>2019 Jul</t>
  </si>
  <si>
    <t>2018 Jul</t>
  </si>
  <si>
    <t>2017 Jul</t>
  </si>
  <si>
    <t>-</t>
  </si>
  <si>
    <t>2016 Jul</t>
  </si>
  <si>
    <t>2015 Jul</t>
  </si>
  <si>
    <t>2014 Jul</t>
  </si>
  <si>
    <t>2013 Jul</t>
  </si>
  <si>
    <t>2011 Jul</t>
  </si>
  <si>
    <t>2010 Jul</t>
  </si>
  <si>
    <t>2009 Jul</t>
  </si>
  <si>
    <t>2008 Jul</t>
  </si>
  <si>
    <t>2007 Jul</t>
  </si>
  <si>
    <t>2006 Jul</t>
  </si>
  <si>
    <t>2005 Jul</t>
  </si>
  <si>
    <t>2004 Jul</t>
  </si>
  <si>
    <t xml:space="preserve">                                                                                                                          </t>
  </si>
  <si>
    <t>2003 Jul</t>
  </si>
  <si>
    <t>2002 Jul</t>
  </si>
  <si>
    <t>2001 Jul</t>
  </si>
  <si>
    <t>Balance Check</t>
  </si>
  <si>
    <t>Bank</t>
  </si>
  <si>
    <t>Total</t>
  </si>
  <si>
    <t>Fixed Deposits</t>
  </si>
  <si>
    <t>Share</t>
  </si>
  <si>
    <t>Pokhara Awas</t>
  </si>
  <si>
    <t xml:space="preserve">Government Securities </t>
  </si>
  <si>
    <t>Leasing</t>
  </si>
  <si>
    <t>Staff Loan</t>
  </si>
  <si>
    <t>Employee Loan</t>
  </si>
  <si>
    <t>Institutional &amp; Other Loan</t>
  </si>
  <si>
    <t>Other</t>
  </si>
  <si>
    <t>Commercial</t>
  </si>
  <si>
    <t>NRB</t>
  </si>
  <si>
    <t>Other Reserve</t>
  </si>
  <si>
    <t>Provident Fund</t>
  </si>
  <si>
    <t>Paid-Up Capital</t>
  </si>
  <si>
    <t>Other Assets</t>
  </si>
  <si>
    <t>Liquid Fund</t>
  </si>
  <si>
    <t>Fixed Assests</t>
  </si>
  <si>
    <t>Investment</t>
  </si>
  <si>
    <t>Loans and Advances</t>
  </si>
  <si>
    <t>Source/ Uses</t>
  </si>
  <si>
    <t>Other Sources*</t>
  </si>
  <si>
    <t>Borrowing</t>
  </si>
  <si>
    <t>Deposits</t>
  </si>
  <si>
    <t>Uses of Fund</t>
  </si>
  <si>
    <t>Sources/ Uses</t>
  </si>
  <si>
    <t>Sources of Fund</t>
  </si>
  <si>
    <t>Mid-Month</t>
  </si>
  <si>
    <t>In Million Rupees</t>
  </si>
  <si>
    <t>Source: Citizen Investment Trust</t>
  </si>
  <si>
    <t>2012 Jul</t>
  </si>
  <si>
    <t>478/.47</t>
  </si>
  <si>
    <t>2000 Jul</t>
  </si>
  <si>
    <t>1999 Jul</t>
  </si>
  <si>
    <t>1998 Jul</t>
  </si>
  <si>
    <t>1997 Jul</t>
  </si>
  <si>
    <t>1996 Jul</t>
  </si>
  <si>
    <t>Assets</t>
  </si>
  <si>
    <t>Advances</t>
  </si>
  <si>
    <t>Call Money</t>
  </si>
  <si>
    <t>Debenture</t>
  </si>
  <si>
    <t>Securities</t>
  </si>
  <si>
    <t>Liabilities</t>
  </si>
  <si>
    <t>Collection</t>
  </si>
  <si>
    <t>Fund</t>
  </si>
  <si>
    <t>Capital</t>
  </si>
  <si>
    <t xml:space="preserve">Others </t>
  </si>
  <si>
    <t>Loans &amp;</t>
  </si>
  <si>
    <t>Share &amp;</t>
  </si>
  <si>
    <t xml:space="preserve">Govt. </t>
  </si>
  <si>
    <t>Reserve</t>
  </si>
  <si>
    <t>Paid-Up</t>
  </si>
  <si>
    <t>Source: Insurance Board of Nepal.</t>
  </si>
  <si>
    <t>Note: Data readjusted from 2005  according to letter of Beema Samiti dated 8 October 2009.</t>
  </si>
  <si>
    <t>Non-life</t>
  </si>
  <si>
    <t>Life</t>
  </si>
  <si>
    <t>Uses</t>
  </si>
  <si>
    <t>Purchase</t>
  </si>
  <si>
    <t>Others</t>
  </si>
  <si>
    <t>Term Loan</t>
  </si>
  <si>
    <t>Housing</t>
  </si>
  <si>
    <t>Hire</t>
  </si>
  <si>
    <t>Fixed Assets</t>
  </si>
  <si>
    <t>Cash &amp; Bank Balance</t>
  </si>
  <si>
    <t>Sources/</t>
  </si>
  <si>
    <t>Reserve/Fund</t>
  </si>
  <si>
    <t>Sources and Uses of Fund of Employees Provident Fund</t>
  </si>
  <si>
    <t>Sources and Uses of Fund of Citizen Investment Trust</t>
  </si>
  <si>
    <t>Sources and Uses of Fund of Insurance Companies</t>
  </si>
  <si>
    <t>2020 Jul</t>
  </si>
  <si>
    <t>2021 Jul</t>
  </si>
  <si>
    <r>
      <t>2022 Jul</t>
    </r>
    <r>
      <rPr>
        <b/>
        <vertAlign val="superscript"/>
        <sz val="7"/>
        <rFont val="Times New Roman"/>
        <family val="1"/>
      </rPr>
      <t>P</t>
    </r>
  </si>
  <si>
    <r>
      <t>2023 Jul</t>
    </r>
    <r>
      <rPr>
        <b/>
        <vertAlign val="superscript"/>
        <sz val="7"/>
        <rFont val="Times New Roman"/>
        <family val="1"/>
      </rPr>
      <t>P</t>
    </r>
  </si>
  <si>
    <t>2022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</si>
</sst>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_);[Red]\(#,##0.0\)"/>
    <numFmt numFmtId="166" formatCode="_(* #,##0.0_);_(* \(#,##0.0\);_(* &quot;-&quot;??_);_(@_)"/>
    <numFmt numFmtId="167" formatCode="#,##0.0"/>
    <numFmt numFmtId="168" formatCode="_(* #,##0_);_(* \(#,##0\);_(* &quot;-&quot;??_);_(@_)"/>
  </numFmts>
  <fonts count="19">
    <font>
      <sz val="8"/>
      <name val="Times New Roman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name val="Geneva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7"/>
      <color theme="1"/>
      <name val="Times New Roman"/>
      <family val="1"/>
    </font>
    <font>
      <b/>
      <i/>
      <sz val="7"/>
      <color theme="1"/>
      <name val="Times New Roman"/>
      <family val="1"/>
    </font>
    <font>
      <sz val="7"/>
      <color theme="1"/>
      <name val="Times New Roman"/>
      <family val="1"/>
    </font>
    <font>
      <i/>
      <sz val="7"/>
      <color theme="1"/>
      <name val="Times New Roman"/>
      <family val="1"/>
    </font>
    <font>
      <b/>
      <sz val="10"/>
      <name val="Helvetica"/>
      <family val="2"/>
    </font>
    <font>
      <b/>
      <sz val="12"/>
      <color theme="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vertAlign val="superscript"/>
      <sz val="7"/>
      <name val="Times New Roman"/>
      <family val="1"/>
    </font>
    <font>
      <sz val="8"/>
      <name val="Times New Roman"/>
      <family val="1"/>
    </font>
    <font>
      <sz val="1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0" fontId="3" fillId="0" borderId="0" applyFont="0" applyFill="0" applyBorder="0" applyAlignment="0" applyProtection="0"/>
  </cellStyleXfs>
  <cellXfs count="196">
    <xf numFmtId="0" fontId="0" fillId="0" borderId="0" xfId="0">
      <alignment vertical="center"/>
    </xf>
    <xf numFmtId="164" fontId="1" fillId="0" borderId="0" xfId="0" applyNumberFormat="1" applyFont="1">
      <alignment vertical="center"/>
    </xf>
    <xf numFmtId="164" fontId="2" fillId="0" borderId="0" xfId="0" applyNumberFormat="1" applyFont="1">
      <alignment vertical="center"/>
    </xf>
    <xf numFmtId="164" fontId="1" fillId="0" borderId="1" xfId="0" applyNumberFormat="1" applyFont="1" applyBorder="1">
      <alignment vertical="center"/>
    </xf>
    <xf numFmtId="164" fontId="1" fillId="0" borderId="2" xfId="0" applyNumberFormat="1" applyFont="1" applyBorder="1">
      <alignment vertical="center"/>
    </xf>
    <xf numFmtId="40" fontId="1" fillId="0" borderId="0" xfId="1" applyFont="1" applyBorder="1" applyAlignment="1">
      <alignment vertical="center"/>
    </xf>
    <xf numFmtId="0" fontId="4" fillId="0" borderId="0" xfId="0" applyFont="1">
      <alignment vertical="center"/>
    </xf>
    <xf numFmtId="2" fontId="1" fillId="0" borderId="0" xfId="0" applyNumberFormat="1" applyFont="1">
      <alignment vertical="center"/>
    </xf>
    <xf numFmtId="164" fontId="5" fillId="0" borderId="0" xfId="0" applyNumberFormat="1" applyFont="1">
      <alignment vertical="center"/>
    </xf>
    <xf numFmtId="164" fontId="1" fillId="0" borderId="3" xfId="0" applyNumberFormat="1" applyFont="1" applyBorder="1">
      <alignment vertical="center"/>
    </xf>
    <xf numFmtId="164" fontId="6" fillId="0" borderId="0" xfId="0" applyNumberFormat="1" applyFont="1">
      <alignment vertical="center"/>
    </xf>
    <xf numFmtId="164" fontId="2" fillId="0" borderId="0" xfId="0" applyNumberFormat="1" applyFont="1" applyAlignment="1">
      <alignment horizontal="right" vertical="center"/>
    </xf>
    <xf numFmtId="164" fontId="6" fillId="0" borderId="0" xfId="0" applyNumberFormat="1" applyFont="1" applyBorder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6" fillId="0" borderId="0" xfId="0" quotePrefix="1" applyNumberFormat="1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4" fontId="8" fillId="0" borderId="0" xfId="0" applyNumberFormat="1" applyFont="1">
      <alignment vertical="center"/>
    </xf>
    <xf numFmtId="164" fontId="9" fillId="0" borderId="0" xfId="0" applyNumberFormat="1" applyFont="1" applyAlignment="1">
      <alignment horizontal="right" vertical="center"/>
    </xf>
    <xf numFmtId="164" fontId="8" fillId="0" borderId="4" xfId="0" applyNumberFormat="1" applyFont="1" applyBorder="1" applyAlignment="1"/>
    <xf numFmtId="164" fontId="8" fillId="0" borderId="4" xfId="1" applyNumberFormat="1" applyFont="1" applyFill="1" applyBorder="1" applyAlignment="1"/>
    <xf numFmtId="164" fontId="8" fillId="0" borderId="4" xfId="0" quotePrefix="1" applyNumberFormat="1" applyFont="1" applyBorder="1" applyAlignment="1">
      <alignment horizontal="center"/>
    </xf>
    <xf numFmtId="164" fontId="8" fillId="0" borderId="4" xfId="1" applyNumberFormat="1" applyFont="1" applyBorder="1" applyAlignment="1"/>
    <xf numFmtId="165" fontId="8" fillId="0" borderId="4" xfId="1" applyNumberFormat="1" applyFont="1" applyFill="1" applyBorder="1" applyAlignment="1"/>
    <xf numFmtId="164" fontId="8" fillId="0" borderId="0" xfId="0" applyNumberFormat="1" applyFont="1" applyBorder="1" applyAlignment="1"/>
    <xf numFmtId="164" fontId="10" fillId="0" borderId="0" xfId="0" applyNumberFormat="1" applyFont="1">
      <alignment vertical="center"/>
    </xf>
    <xf numFmtId="164" fontId="11" fillId="0" borderId="0" xfId="0" applyNumberFormat="1" applyFont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164" fontId="8" fillId="0" borderId="4" xfId="0" applyNumberFormat="1" applyFont="1" applyBorder="1" applyAlignment="1">
      <alignment horizontal="center"/>
    </xf>
    <xf numFmtId="166" fontId="8" fillId="0" borderId="4" xfId="1" applyNumberFormat="1" applyFont="1" applyBorder="1" applyAlignment="1"/>
    <xf numFmtId="166" fontId="8" fillId="0" borderId="4" xfId="0" applyNumberFormat="1" applyFont="1" applyBorder="1" applyAlignment="1"/>
    <xf numFmtId="166" fontId="8" fillId="0" borderId="4" xfId="1" applyNumberFormat="1" applyFont="1" applyBorder="1" applyAlignment="1">
      <alignment horizontal="center"/>
    </xf>
    <xf numFmtId="164" fontId="8" fillId="2" borderId="5" xfId="0" applyNumberFormat="1" applyFont="1" applyFill="1" applyBorder="1">
      <alignment vertical="center"/>
    </xf>
    <xf numFmtId="164" fontId="8" fillId="2" borderId="0" xfId="0" applyNumberFormat="1" applyFont="1" applyFill="1">
      <alignment vertical="center"/>
    </xf>
    <xf numFmtId="167" fontId="8" fillId="2" borderId="0" xfId="1" applyNumberFormat="1" applyFont="1" applyFill="1" applyBorder="1" applyAlignment="1">
      <alignment vertical="center"/>
    </xf>
    <xf numFmtId="167" fontId="8" fillId="2" borderId="0" xfId="1" applyNumberFormat="1" applyFont="1" applyFill="1" applyBorder="1" applyAlignment="1">
      <alignment horizontal="center" vertical="center"/>
    </xf>
    <xf numFmtId="167" fontId="8" fillId="2" borderId="0" xfId="0" applyNumberFormat="1" applyFont="1" applyFill="1">
      <alignment vertical="center"/>
    </xf>
    <xf numFmtId="166" fontId="8" fillId="2" borderId="4" xfId="1" applyNumberFormat="1" applyFont="1" applyFill="1" applyBorder="1" applyAlignment="1">
      <alignment horizontal="center"/>
    </xf>
    <xf numFmtId="166" fontId="8" fillId="2" borderId="4" xfId="0" applyNumberFormat="1" applyFont="1" applyFill="1" applyBorder="1" applyAlignment="1"/>
    <xf numFmtId="166" fontId="8" fillId="2" borderId="4" xfId="1" applyNumberFormat="1" applyFont="1" applyFill="1" applyBorder="1" applyAlignment="1"/>
    <xf numFmtId="164" fontId="8" fillId="2" borderId="4" xfId="0" applyNumberFormat="1" applyFont="1" applyFill="1" applyBorder="1" applyAlignment="1"/>
    <xf numFmtId="40" fontId="8" fillId="2" borderId="0" xfId="1" applyFont="1" applyFill="1" applyBorder="1" applyAlignment="1">
      <alignment vertical="center"/>
    </xf>
    <xf numFmtId="40" fontId="8" fillId="2" borderId="4" xfId="1" applyFont="1" applyFill="1" applyBorder="1" applyAlignment="1"/>
    <xf numFmtId="166" fontId="8" fillId="2" borderId="6" xfId="1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/>
    <xf numFmtId="1" fontId="7" fillId="3" borderId="7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 wrapText="1"/>
    </xf>
    <xf numFmtId="1" fontId="7" fillId="3" borderId="7" xfId="0" applyNumberFormat="1" applyFont="1" applyFill="1" applyBorder="1" applyAlignment="1">
      <alignment horizontal="center" wrapText="1"/>
    </xf>
    <xf numFmtId="164" fontId="7" fillId="3" borderId="7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/>
    <xf numFmtId="164" fontId="2" fillId="0" borderId="9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/>
    </xf>
    <xf numFmtId="164" fontId="13" fillId="0" borderId="14" xfId="0" applyNumberFormat="1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left" vertical="center"/>
    </xf>
    <xf numFmtId="164" fontId="13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64" fontId="14" fillId="0" borderId="0" xfId="0" applyNumberFormat="1" applyFont="1" applyBorder="1">
      <alignment vertical="center"/>
    </xf>
    <xf numFmtId="164" fontId="14" fillId="0" borderId="0" xfId="0" applyNumberFormat="1" applyFont="1">
      <alignment vertical="center"/>
    </xf>
    <xf numFmtId="164" fontId="14" fillId="0" borderId="0" xfId="0" applyNumberFormat="1" applyFont="1" applyFill="1">
      <alignment vertical="center"/>
    </xf>
    <xf numFmtId="164" fontId="14" fillId="0" borderId="0" xfId="0" applyNumberFormat="1" applyFont="1" applyBorder="1" applyAlignment="1">
      <alignment horizontal="left"/>
    </xf>
    <xf numFmtId="164" fontId="15" fillId="0" borderId="0" xfId="0" applyNumberFormat="1" applyFont="1" applyBorder="1" applyAlignment="1">
      <alignment vertical="center"/>
    </xf>
    <xf numFmtId="167" fontId="15" fillId="0" borderId="4" xfId="1" applyNumberFormat="1" applyFont="1" applyBorder="1" applyAlignment="1">
      <alignment horizontal="right" vertical="center"/>
    </xf>
    <xf numFmtId="167" fontId="15" fillId="0" borderId="15" xfId="1" applyNumberFormat="1" applyFont="1" applyBorder="1" applyAlignment="1">
      <alignment horizontal="right" vertical="center"/>
    </xf>
    <xf numFmtId="166" fontId="14" fillId="0" borderId="4" xfId="1" applyNumberFormat="1" applyFont="1" applyBorder="1" applyAlignment="1">
      <alignment horizontal="right" vertical="center"/>
    </xf>
    <xf numFmtId="167" fontId="15" fillId="0" borderId="15" xfId="1" applyNumberFormat="1" applyFont="1" applyFill="1" applyBorder="1" applyAlignment="1">
      <alignment horizontal="right" vertical="center"/>
    </xf>
    <xf numFmtId="164" fontId="15" fillId="2" borderId="4" xfId="0" applyNumberFormat="1" applyFont="1" applyFill="1" applyBorder="1" applyAlignment="1">
      <alignment vertical="center"/>
    </xf>
    <xf numFmtId="164" fontId="15" fillId="0" borderId="4" xfId="0" applyNumberFormat="1" applyFont="1" applyBorder="1" applyAlignment="1">
      <alignment vertical="center"/>
    </xf>
    <xf numFmtId="164" fontId="15" fillId="0" borderId="5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14" fillId="0" borderId="5" xfId="0" applyNumberFormat="1" applyFont="1" applyBorder="1" applyAlignment="1">
      <alignment vertical="center"/>
    </xf>
    <xf numFmtId="166" fontId="14" fillId="0" borderId="5" xfId="1" applyNumberFormat="1" applyFont="1" applyBorder="1" applyAlignment="1">
      <alignment vertical="center"/>
    </xf>
    <xf numFmtId="167" fontId="14" fillId="0" borderId="4" xfId="1" applyNumberFormat="1" applyFont="1" applyBorder="1" applyAlignment="1">
      <alignment horizontal="right" vertical="center"/>
    </xf>
    <xf numFmtId="167" fontId="14" fillId="0" borderId="4" xfId="1" applyNumberFormat="1" applyFont="1" applyFill="1" applyBorder="1" applyAlignment="1">
      <alignment horizontal="right" vertical="center"/>
    </xf>
    <xf numFmtId="166" fontId="14" fillId="0" borderId="0" xfId="1" applyNumberFormat="1" applyFont="1" applyBorder="1" applyAlignment="1">
      <alignment vertical="center"/>
    </xf>
    <xf numFmtId="164" fontId="14" fillId="0" borderId="0" xfId="0" applyNumberFormat="1" applyFont="1" applyAlignment="1">
      <alignment vertical="center"/>
    </xf>
    <xf numFmtId="40" fontId="15" fillId="0" borderId="0" xfId="1" applyFont="1" applyBorder="1" applyAlignment="1">
      <alignment vertical="center"/>
    </xf>
    <xf numFmtId="166" fontId="14" fillId="0" borderId="4" xfId="1" applyNumberFormat="1" applyFont="1" applyBorder="1" applyAlignment="1">
      <alignment horizontal="center" vertical="center"/>
    </xf>
    <xf numFmtId="166" fontId="14" fillId="0" borderId="4" xfId="1" applyNumberFormat="1" applyFont="1" applyFill="1" applyBorder="1" applyAlignment="1">
      <alignment horizontal="center" vertical="center"/>
    </xf>
    <xf numFmtId="40" fontId="15" fillId="0" borderId="4" xfId="1" applyFont="1" applyBorder="1" applyAlignment="1">
      <alignment vertical="center"/>
    </xf>
    <xf numFmtId="1" fontId="14" fillId="0" borderId="11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1" fontId="14" fillId="0" borderId="11" xfId="0" applyNumberFormat="1" applyFont="1" applyFill="1" applyBorder="1" applyAlignment="1">
      <alignment horizontal="center" wrapText="1"/>
    </xf>
    <xf numFmtId="164" fontId="14" fillId="0" borderId="9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164" fontId="14" fillId="0" borderId="16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164" fontId="14" fillId="0" borderId="6" xfId="0" applyNumberFormat="1" applyFont="1" applyBorder="1">
      <alignment vertical="center"/>
    </xf>
    <xf numFmtId="164" fontId="14" fillId="0" borderId="17" xfId="0" applyNumberFormat="1" applyFont="1" applyBorder="1" applyAlignment="1">
      <alignment horizontal="center"/>
    </xf>
    <xf numFmtId="164" fontId="18" fillId="0" borderId="0" xfId="0" applyNumberFormat="1" applyFont="1" applyBorder="1">
      <alignment vertical="center"/>
    </xf>
    <xf numFmtId="164" fontId="18" fillId="0" borderId="0" xfId="0" applyNumberFormat="1" applyFont="1">
      <alignment vertical="center"/>
    </xf>
    <xf numFmtId="164" fontId="18" fillId="0" borderId="14" xfId="0" applyNumberFormat="1" applyFont="1" applyBorder="1">
      <alignment vertical="center"/>
    </xf>
    <xf numFmtId="164" fontId="18" fillId="0" borderId="0" xfId="0" applyNumberFormat="1" applyFont="1" applyFill="1" applyBorder="1">
      <alignment vertical="center"/>
    </xf>
    <xf numFmtId="164" fontId="12" fillId="0" borderId="0" xfId="0" applyNumberFormat="1" applyFont="1" applyBorder="1">
      <alignment vertical="center"/>
    </xf>
    <xf numFmtId="164" fontId="12" fillId="0" borderId="15" xfId="0" applyNumberFormat="1" applyFont="1" applyBorder="1">
      <alignment vertical="center"/>
    </xf>
    <xf numFmtId="164" fontId="18" fillId="0" borderId="14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164" fontId="18" fillId="0" borderId="0" xfId="0" applyNumberFormat="1" applyFont="1" applyFill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164" fontId="12" fillId="0" borderId="15" xfId="0" applyNumberFormat="1" applyFont="1" applyBorder="1" applyAlignment="1">
      <alignment horizontal="left"/>
    </xf>
    <xf numFmtId="164" fontId="18" fillId="0" borderId="16" xfId="0" applyNumberFormat="1" applyFont="1" applyBorder="1" applyAlignment="1">
      <alignment horizontal="left"/>
    </xf>
    <xf numFmtId="164" fontId="18" fillId="0" borderId="17" xfId="0" applyNumberFormat="1" applyFont="1" applyBorder="1" applyAlignment="1">
      <alignment horizontal="left"/>
    </xf>
    <xf numFmtId="164" fontId="18" fillId="0" borderId="17" xfId="0" applyNumberFormat="1" applyFont="1" applyFill="1" applyBorder="1" applyAlignment="1">
      <alignment horizontal="left"/>
    </xf>
    <xf numFmtId="164" fontId="12" fillId="0" borderId="17" xfId="0" applyNumberFormat="1" applyFont="1" applyBorder="1" applyAlignment="1">
      <alignment horizontal="left"/>
    </xf>
    <xf numFmtId="164" fontId="12" fillId="0" borderId="18" xfId="0" applyNumberFormat="1" applyFont="1" applyBorder="1" applyAlignment="1">
      <alignment horizontal="left"/>
    </xf>
    <xf numFmtId="164" fontId="14" fillId="0" borderId="0" xfId="0" applyNumberFormat="1" applyFont="1" applyFill="1" applyBorder="1">
      <alignment vertical="center"/>
    </xf>
    <xf numFmtId="164" fontId="15" fillId="0" borderId="0" xfId="0" applyNumberFormat="1" applyFont="1" applyBorder="1">
      <alignment vertical="center"/>
    </xf>
    <xf numFmtId="166" fontId="15" fillId="0" borderId="0" xfId="1" applyNumberFormat="1" applyFont="1" applyBorder="1"/>
    <xf numFmtId="166" fontId="15" fillId="0" borderId="0" xfId="1" applyNumberFormat="1" applyFont="1" applyFill="1" applyBorder="1"/>
    <xf numFmtId="167" fontId="14" fillId="0" borderId="0" xfId="1" applyNumberFormat="1" applyFont="1" applyBorder="1" applyAlignment="1">
      <alignment horizontal="right"/>
    </xf>
    <xf numFmtId="164" fontId="15" fillId="0" borderId="0" xfId="0" applyNumberFormat="1" applyFont="1" applyFill="1" applyBorder="1" applyAlignment="1"/>
    <xf numFmtId="164" fontId="15" fillId="0" borderId="0" xfId="0" applyNumberFormat="1" applyFont="1" applyBorder="1" applyAlignment="1"/>
    <xf numFmtId="167" fontId="15" fillId="0" borderId="4" xfId="1" applyNumberFormat="1" applyFont="1" applyBorder="1" applyAlignment="1">
      <alignment horizontal="right"/>
    </xf>
    <xf numFmtId="164" fontId="15" fillId="0" borderId="0" xfId="0" applyNumberFormat="1" applyFont="1" applyFill="1" applyBorder="1" applyAlignment="1">
      <alignment vertical="center"/>
    </xf>
    <xf numFmtId="167" fontId="15" fillId="0" borderId="4" xfId="1" applyNumberFormat="1" applyFont="1" applyFill="1" applyBorder="1" applyAlignment="1">
      <alignment horizontal="right" vertical="center"/>
    </xf>
    <xf numFmtId="166" fontId="15" fillId="0" borderId="4" xfId="1" applyNumberFormat="1" applyFont="1" applyBorder="1" applyAlignment="1">
      <alignment vertical="center"/>
    </xf>
    <xf numFmtId="164" fontId="15" fillId="2" borderId="0" xfId="0" applyNumberFormat="1" applyFont="1" applyFill="1" applyBorder="1" applyAlignment="1">
      <alignment vertical="center"/>
    </xf>
    <xf numFmtId="166" fontId="15" fillId="2" borderId="0" xfId="1" applyNumberFormat="1" applyFont="1" applyFill="1" applyBorder="1" applyAlignment="1">
      <alignment vertical="center"/>
    </xf>
    <xf numFmtId="167" fontId="15" fillId="2" borderId="4" xfId="1" applyNumberFormat="1" applyFont="1" applyFill="1" applyBorder="1" applyAlignment="1">
      <alignment horizontal="right" vertical="center"/>
    </xf>
    <xf numFmtId="167" fontId="15" fillId="2" borderId="4" xfId="0" applyNumberFormat="1" applyFont="1" applyFill="1" applyBorder="1" applyAlignment="1">
      <alignment horizontal="right" vertical="center"/>
    </xf>
    <xf numFmtId="167" fontId="15" fillId="2" borderId="4" xfId="1" applyNumberFormat="1" applyFont="1" applyFill="1" applyBorder="1" applyAlignment="1">
      <alignment horizontal="right" vertical="center" wrapText="1"/>
    </xf>
    <xf numFmtId="167" fontId="15" fillId="2" borderId="4" xfId="0" applyNumberFormat="1" applyFont="1" applyFill="1" applyBorder="1" applyAlignment="1">
      <alignment horizontal="right" vertical="center" wrapText="1"/>
    </xf>
    <xf numFmtId="164" fontId="15" fillId="2" borderId="15" xfId="0" applyNumberFormat="1" applyFont="1" applyFill="1" applyBorder="1" applyAlignment="1">
      <alignment vertical="center"/>
    </xf>
    <xf numFmtId="166" fontId="15" fillId="2" borderId="4" xfId="1" applyNumberFormat="1" applyFont="1" applyFill="1" applyBorder="1" applyAlignment="1">
      <alignment vertical="center"/>
    </xf>
    <xf numFmtId="164" fontId="15" fillId="2" borderId="14" xfId="0" applyNumberFormat="1" applyFont="1" applyFill="1" applyBorder="1" applyAlignment="1">
      <alignment vertical="center"/>
    </xf>
    <xf numFmtId="40" fontId="15" fillId="0" borderId="0" xfId="1" applyFont="1" applyFill="1" applyBorder="1" applyAlignment="1">
      <alignment vertical="center"/>
    </xf>
    <xf numFmtId="166" fontId="15" fillId="2" borderId="15" xfId="1" applyNumberFormat="1" applyFont="1" applyFill="1" applyBorder="1" applyAlignment="1">
      <alignment vertical="center"/>
    </xf>
    <xf numFmtId="166" fontId="15" fillId="2" borderId="14" xfId="1" applyNumberFormat="1" applyFont="1" applyFill="1" applyBorder="1" applyAlignment="1">
      <alignment vertical="center"/>
    </xf>
    <xf numFmtId="40" fontId="15" fillId="2" borderId="4" xfId="1" applyFont="1" applyFill="1" applyBorder="1" applyAlignment="1">
      <alignment vertical="center"/>
    </xf>
    <xf numFmtId="166" fontId="15" fillId="0" borderId="15" xfId="1" applyNumberFormat="1" applyFont="1" applyBorder="1" applyAlignment="1">
      <alignment horizontal="center" vertical="center"/>
    </xf>
    <xf numFmtId="166" fontId="15" fillId="0" borderId="0" xfId="1" applyNumberFormat="1" applyFont="1" applyBorder="1" applyAlignment="1">
      <alignment horizontal="center" vertical="center"/>
    </xf>
    <xf numFmtId="166" fontId="15" fillId="0" borderId="14" xfId="1" applyNumberFormat="1" applyFont="1" applyBorder="1" applyAlignment="1">
      <alignment horizontal="center" vertical="center"/>
    </xf>
    <xf numFmtId="166" fontId="15" fillId="0" borderId="4" xfId="1" applyNumberFormat="1" applyFont="1" applyBorder="1" applyAlignment="1">
      <alignment horizontal="center" vertical="center"/>
    </xf>
    <xf numFmtId="166" fontId="15" fillId="0" borderId="4" xfId="1" applyNumberFormat="1" applyFont="1" applyFill="1" applyBorder="1" applyAlignment="1">
      <alignment horizontal="center" vertical="center"/>
    </xf>
    <xf numFmtId="166" fontId="15" fillId="0" borderId="4" xfId="1" applyNumberFormat="1" applyFont="1" applyBorder="1" applyAlignment="1">
      <alignment horizontal="center" vertical="center" wrapText="1"/>
    </xf>
    <xf numFmtId="166" fontId="15" fillId="0" borderId="14" xfId="1" applyNumberFormat="1" applyFont="1" applyFill="1" applyBorder="1" applyAlignment="1">
      <alignment horizontal="center" vertical="center"/>
    </xf>
    <xf numFmtId="168" fontId="15" fillId="0" borderId="4" xfId="1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 wrapText="1"/>
    </xf>
    <xf numFmtId="164" fontId="14" fillId="0" borderId="5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64" fontId="14" fillId="0" borderId="18" xfId="0" applyNumberFormat="1" applyFont="1" applyBorder="1">
      <alignment vertical="center"/>
    </xf>
    <xf numFmtId="164" fontId="18" fillId="0" borderId="0" xfId="0" applyNumberFormat="1" applyFont="1" applyFill="1">
      <alignment vertical="center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Fill="1" applyAlignment="1">
      <alignment horizontal="left"/>
    </xf>
    <xf numFmtId="167" fontId="15" fillId="0" borderId="15" xfId="1" applyNumberFormat="1" applyFont="1" applyBorder="1" applyAlignment="1">
      <alignment horizontal="right"/>
    </xf>
    <xf numFmtId="167" fontId="15" fillId="0" borderId="15" xfId="1" applyNumberFormat="1" applyFont="1" applyFill="1" applyBorder="1" applyAlignment="1">
      <alignment horizontal="right"/>
    </xf>
    <xf numFmtId="166" fontId="14" fillId="0" borderId="4" xfId="1" applyNumberFormat="1" applyFont="1" applyBorder="1" applyAlignment="1">
      <alignment horizontal="right"/>
    </xf>
    <xf numFmtId="166" fontId="15" fillId="0" borderId="4" xfId="1" applyNumberFormat="1" applyFont="1" applyBorder="1" applyAlignment="1">
      <alignment horizontal="right"/>
    </xf>
    <xf numFmtId="167" fontId="15" fillId="0" borderId="4" xfId="1" applyNumberFormat="1" applyFont="1" applyFill="1" applyBorder="1" applyAlignment="1">
      <alignment horizontal="right"/>
    </xf>
    <xf numFmtId="164" fontId="15" fillId="0" borderId="4" xfId="0" applyNumberFormat="1" applyFont="1" applyBorder="1" applyAlignment="1"/>
    <xf numFmtId="164" fontId="15" fillId="0" borderId="5" xfId="0" applyNumberFormat="1" applyFont="1" applyBorder="1" applyAlignment="1"/>
    <xf numFmtId="164" fontId="7" fillId="3" borderId="6" xfId="0" applyNumberFormat="1" applyFont="1" applyFill="1" applyBorder="1" applyAlignment="1">
      <alignment horizontal="center" wrapText="1"/>
    </xf>
    <xf numFmtId="164" fontId="7" fillId="3" borderId="4" xfId="0" applyNumberFormat="1" applyFont="1" applyFill="1" applyBorder="1" applyAlignment="1">
      <alignment horizontal="center" wrapText="1"/>
    </xf>
    <xf numFmtId="164" fontId="7" fillId="3" borderId="8" xfId="0" applyNumberFormat="1" applyFont="1" applyFill="1" applyBorder="1" applyAlignment="1">
      <alignment horizontal="center" wrapText="1"/>
    </xf>
    <xf numFmtId="164" fontId="7" fillId="3" borderId="7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left" vertical="center" indent="1"/>
    </xf>
    <xf numFmtId="164" fontId="7" fillId="3" borderId="7" xfId="0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14" fillId="0" borderId="6" xfId="0" applyNumberFormat="1" applyFont="1" applyBorder="1" applyAlignment="1">
      <alignment horizontal="left" vertical="center"/>
    </xf>
    <xf numFmtId="164" fontId="14" fillId="0" borderId="4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164" fontId="14" fillId="0" borderId="13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164" fontId="14" fillId="0" borderId="16" xfId="0" applyNumberFormat="1" applyFont="1" applyFill="1" applyBorder="1" applyAlignment="1">
      <alignment horizontal="center" wrapText="1"/>
    </xf>
    <xf numFmtId="164" fontId="14" fillId="0" borderId="14" xfId="0" applyNumberFormat="1" applyFont="1" applyFill="1" applyBorder="1" applyAlignment="1">
      <alignment horizontal="center" wrapText="1"/>
    </xf>
    <xf numFmtId="164" fontId="14" fillId="0" borderId="9" xfId="0" applyNumberFormat="1" applyFont="1" applyFill="1" applyBorder="1" applyAlignment="1">
      <alignment horizontal="center" wrapText="1"/>
    </xf>
    <xf numFmtId="164" fontId="14" fillId="0" borderId="18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164" fontId="14" fillId="0" borderId="16" xfId="0" applyNumberFormat="1" applyFont="1" applyBorder="1" applyAlignment="1">
      <alignment horizontal="center"/>
    </xf>
    <xf numFmtId="164" fontId="14" fillId="0" borderId="16" xfId="0" applyNumberFormat="1" applyFont="1" applyBorder="1" applyAlignment="1">
      <alignment horizontal="center" wrapText="1"/>
    </xf>
    <xf numFmtId="164" fontId="14" fillId="0" borderId="14" xfId="0" applyNumberFormat="1" applyFont="1" applyBorder="1" applyAlignment="1">
      <alignment horizontal="center" wrapText="1"/>
    </xf>
    <xf numFmtId="164" fontId="14" fillId="0" borderId="9" xfId="0" applyNumberFormat="1" applyFont="1" applyBorder="1" applyAlignment="1">
      <alignment horizontal="center" wrapText="1"/>
    </xf>
    <xf numFmtId="164" fontId="14" fillId="0" borderId="10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208"/>
  <sheetViews>
    <sheetView zoomScale="140" zoomScaleNormal="140" zoomScaleSheetLayoutView="110" workbookViewId="0">
      <pane xSplit="2" ySplit="9" topLeftCell="C19" activePane="bottomRight" state="frozen"/>
      <selection activeCell="C19" sqref="C19"/>
      <selection pane="topRight" activeCell="C19" sqref="C19"/>
      <selection pane="bottomLeft" activeCell="C19" sqref="C19"/>
      <selection pane="bottomRight" activeCell="C31" sqref="C31:Z31"/>
    </sheetView>
  </sheetViews>
  <sheetFormatPr defaultRowHeight="12"/>
  <cols>
    <col min="1" max="1" width="12" style="1" customWidth="1"/>
    <col min="2" max="2" width="11.6640625" style="4" hidden="1" customWidth="1"/>
    <col min="3" max="3" width="12.1640625" style="4" customWidth="1"/>
    <col min="4" max="4" width="10.83203125" style="3" customWidth="1"/>
    <col min="5" max="5" width="10.83203125" style="1" customWidth="1"/>
    <col min="6" max="6" width="13" style="1" hidden="1" customWidth="1"/>
    <col min="7" max="7" width="8.33203125" style="1" hidden="1" customWidth="1"/>
    <col min="8" max="8" width="12.6640625" style="1" hidden="1" customWidth="1"/>
    <col min="9" max="9" width="7.83203125" style="1" hidden="1" customWidth="1"/>
    <col min="10" max="10" width="11.6640625" style="1" hidden="1" customWidth="1"/>
    <col min="11" max="11" width="10.83203125" style="1" hidden="1" customWidth="1"/>
    <col min="12" max="12" width="9.83203125" style="1" hidden="1" customWidth="1"/>
    <col min="13" max="13" width="10.6640625" style="1" customWidth="1"/>
    <col min="14" max="14" width="13.1640625" style="1" customWidth="1"/>
    <col min="15" max="15" width="11.1640625" style="1" customWidth="1"/>
    <col min="16" max="16" width="10.6640625" style="1" hidden="1" customWidth="1"/>
    <col min="17" max="17" width="8" style="1" hidden="1" customWidth="1"/>
    <col min="18" max="18" width="10.83203125" style="1" customWidth="1"/>
    <col min="19" max="19" width="12.1640625" style="1" customWidth="1"/>
    <col min="20" max="20" width="9.1640625" style="1" customWidth="1"/>
    <col min="21" max="21" width="10.33203125" style="1" customWidth="1"/>
    <col min="22" max="22" width="12.1640625" style="1" customWidth="1"/>
    <col min="23" max="23" width="11" style="1" customWidth="1"/>
    <col min="24" max="24" width="9.83203125" style="1" customWidth="1"/>
    <col min="25" max="25" width="10.33203125" style="1" customWidth="1"/>
    <col min="26" max="26" width="10.5" style="1" customWidth="1"/>
    <col min="27" max="27" width="16.1640625" style="2" hidden="1" customWidth="1"/>
    <col min="28" max="16384" width="9.33203125" style="1"/>
  </cols>
  <sheetData>
    <row r="1" spans="1:48" ht="14.1" customHeight="1">
      <c r="A1" s="60" t="s">
        <v>89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8"/>
    </row>
    <row r="2" spans="1:48" ht="12" customHeight="1">
      <c r="A2" s="57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5"/>
    </row>
    <row r="3" spans="1:48" ht="11.25" customHeight="1">
      <c r="A3" s="57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5"/>
    </row>
    <row r="4" spans="1:48" ht="14.1" customHeight="1">
      <c r="A4" s="54" t="s">
        <v>51</v>
      </c>
      <c r="B4" s="53"/>
      <c r="C4" s="53"/>
      <c r="D4" s="53"/>
      <c r="E4" s="5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1"/>
    </row>
    <row r="5" spans="1:48">
      <c r="A5" s="165" t="s">
        <v>50</v>
      </c>
      <c r="B5" s="168" t="s">
        <v>49</v>
      </c>
      <c r="C5" s="169"/>
      <c r="D5" s="169"/>
      <c r="E5" s="170"/>
      <c r="F5" s="50"/>
      <c r="G5" s="50"/>
      <c r="H5" s="50"/>
      <c r="I5" s="50"/>
      <c r="J5" s="50"/>
      <c r="K5" s="50"/>
      <c r="L5" s="50"/>
      <c r="M5" s="158" t="s">
        <v>48</v>
      </c>
      <c r="N5" s="174" t="s">
        <v>47</v>
      </c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6"/>
    </row>
    <row r="6" spans="1:48">
      <c r="A6" s="166"/>
      <c r="B6" s="171"/>
      <c r="C6" s="172"/>
      <c r="D6" s="172"/>
      <c r="E6" s="173"/>
      <c r="F6" s="161" t="s">
        <v>46</v>
      </c>
      <c r="G6" s="161" t="s">
        <v>45</v>
      </c>
      <c r="H6" s="161"/>
      <c r="I6" s="161"/>
      <c r="J6" s="161"/>
      <c r="K6" s="163" t="s">
        <v>44</v>
      </c>
      <c r="L6" s="163" t="s">
        <v>43</v>
      </c>
      <c r="M6" s="159"/>
      <c r="N6" s="161" t="s">
        <v>42</v>
      </c>
      <c r="O6" s="161"/>
      <c r="P6" s="161"/>
      <c r="Q6" s="161"/>
      <c r="R6" s="161"/>
      <c r="S6" s="161" t="s">
        <v>41</v>
      </c>
      <c r="T6" s="161"/>
      <c r="U6" s="161"/>
      <c r="V6" s="161"/>
      <c r="W6" s="161"/>
      <c r="X6" s="158" t="s">
        <v>40</v>
      </c>
      <c r="Y6" s="158" t="s">
        <v>39</v>
      </c>
      <c r="Z6" s="158" t="s">
        <v>38</v>
      </c>
    </row>
    <row r="7" spans="1:48" ht="12" customHeight="1">
      <c r="A7" s="166"/>
      <c r="B7" s="158" t="s">
        <v>37</v>
      </c>
      <c r="C7" s="158" t="s">
        <v>36</v>
      </c>
      <c r="D7" s="158" t="s">
        <v>35</v>
      </c>
      <c r="E7" s="161" t="s">
        <v>23</v>
      </c>
      <c r="F7" s="161"/>
      <c r="G7" s="161" t="s">
        <v>34</v>
      </c>
      <c r="H7" s="49" t="s">
        <v>33</v>
      </c>
      <c r="I7" s="161" t="s">
        <v>32</v>
      </c>
      <c r="J7" s="161" t="s">
        <v>23</v>
      </c>
      <c r="K7" s="163"/>
      <c r="L7" s="163"/>
      <c r="M7" s="159"/>
      <c r="N7" s="158" t="s">
        <v>31</v>
      </c>
      <c r="O7" s="158" t="s">
        <v>30</v>
      </c>
      <c r="P7" s="161" t="s">
        <v>29</v>
      </c>
      <c r="Q7" s="161" t="s">
        <v>28</v>
      </c>
      <c r="R7" s="161" t="s">
        <v>23</v>
      </c>
      <c r="S7" s="158" t="s">
        <v>27</v>
      </c>
      <c r="T7" s="158" t="s">
        <v>26</v>
      </c>
      <c r="U7" s="161" t="s">
        <v>25</v>
      </c>
      <c r="V7" s="158" t="s">
        <v>24</v>
      </c>
      <c r="W7" s="161" t="s">
        <v>23</v>
      </c>
      <c r="X7" s="159"/>
      <c r="Y7" s="159"/>
      <c r="Z7" s="159"/>
    </row>
    <row r="8" spans="1:48" ht="9" customHeight="1">
      <c r="A8" s="166"/>
      <c r="B8" s="160"/>
      <c r="C8" s="160"/>
      <c r="D8" s="160"/>
      <c r="E8" s="161"/>
      <c r="F8" s="161"/>
      <c r="G8" s="161"/>
      <c r="H8" s="49" t="s">
        <v>22</v>
      </c>
      <c r="I8" s="161"/>
      <c r="J8" s="161"/>
      <c r="K8" s="163"/>
      <c r="L8" s="163"/>
      <c r="M8" s="160"/>
      <c r="N8" s="160"/>
      <c r="O8" s="160"/>
      <c r="P8" s="161"/>
      <c r="Q8" s="161"/>
      <c r="R8" s="161"/>
      <c r="S8" s="160"/>
      <c r="T8" s="160"/>
      <c r="U8" s="161"/>
      <c r="V8" s="160"/>
      <c r="W8" s="161"/>
      <c r="X8" s="160"/>
      <c r="Y8" s="160"/>
      <c r="Z8" s="160"/>
      <c r="AA8" s="164" t="s">
        <v>21</v>
      </c>
    </row>
    <row r="9" spans="1:48" ht="12.75" customHeight="1">
      <c r="A9" s="167"/>
      <c r="B9" s="45">
        <v>1</v>
      </c>
      <c r="C9" s="45">
        <v>1</v>
      </c>
      <c r="D9" s="45">
        <v>2</v>
      </c>
      <c r="E9" s="46">
        <v>3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8">
        <v>10</v>
      </c>
      <c r="L9" s="48">
        <v>11</v>
      </c>
      <c r="M9" s="47">
        <v>4</v>
      </c>
      <c r="N9" s="45">
        <v>5</v>
      </c>
      <c r="O9" s="45">
        <v>6</v>
      </c>
      <c r="P9" s="45">
        <v>7</v>
      </c>
      <c r="Q9" s="45">
        <v>15</v>
      </c>
      <c r="R9" s="46">
        <v>8</v>
      </c>
      <c r="S9" s="45">
        <v>9</v>
      </c>
      <c r="T9" s="45">
        <v>10</v>
      </c>
      <c r="U9" s="45">
        <v>11</v>
      </c>
      <c r="V9" s="45">
        <v>12</v>
      </c>
      <c r="W9" s="46">
        <v>13</v>
      </c>
      <c r="X9" s="45">
        <v>14</v>
      </c>
      <c r="Y9" s="45">
        <v>15</v>
      </c>
      <c r="Z9" s="45">
        <v>16</v>
      </c>
      <c r="AA9" s="164"/>
    </row>
    <row r="10" spans="1:48" s="33" customFormat="1" ht="9" customHeight="1">
      <c r="A10" s="44" t="s">
        <v>20</v>
      </c>
      <c r="B10" s="43">
        <v>1220.5999999999999</v>
      </c>
      <c r="C10" s="43">
        <v>23709.64</v>
      </c>
      <c r="D10" s="43">
        <v>2070.87</v>
      </c>
      <c r="E10" s="43">
        <v>25780.51</v>
      </c>
      <c r="F10" s="43">
        <v>11654</v>
      </c>
      <c r="G10" s="43">
        <v>0</v>
      </c>
      <c r="H10" s="43">
        <v>215</v>
      </c>
      <c r="I10" s="43">
        <v>0</v>
      </c>
      <c r="J10" s="43">
        <v>215</v>
      </c>
      <c r="K10" s="43">
        <v>2060.1999999999998</v>
      </c>
      <c r="L10" s="43">
        <v>40144.199999999997</v>
      </c>
      <c r="M10" s="43">
        <v>25780.51</v>
      </c>
      <c r="N10" s="43">
        <v>2881.3</v>
      </c>
      <c r="O10" s="43">
        <v>3578.92</v>
      </c>
      <c r="P10" s="43">
        <v>267.89999999999998</v>
      </c>
      <c r="Q10" s="43">
        <v>277.8</v>
      </c>
      <c r="R10" s="43">
        <v>6728.12</v>
      </c>
      <c r="S10" s="43">
        <v>2949.14</v>
      </c>
      <c r="T10" s="43">
        <v>10.199999999999999</v>
      </c>
      <c r="U10" s="43">
        <v>130.31</v>
      </c>
      <c r="V10" s="43">
        <v>14880.03</v>
      </c>
      <c r="W10" s="43">
        <v>17969.68</v>
      </c>
      <c r="X10" s="43">
        <v>278</v>
      </c>
      <c r="Y10" s="43">
        <v>804.7</v>
      </c>
      <c r="Z10" s="43"/>
      <c r="AA10" s="27"/>
    </row>
    <row r="11" spans="1:48" s="33" customFormat="1" ht="9" customHeight="1">
      <c r="A11" s="40" t="s">
        <v>19</v>
      </c>
      <c r="B11" s="37">
        <v>1522.6</v>
      </c>
      <c r="C11" s="37">
        <v>27348.54</v>
      </c>
      <c r="D11" s="37">
        <v>2271.9499999999998</v>
      </c>
      <c r="E11" s="37">
        <v>29620.49</v>
      </c>
      <c r="F11" s="37">
        <v>13453.9</v>
      </c>
      <c r="G11" s="37">
        <v>0</v>
      </c>
      <c r="H11" s="37">
        <v>244.8</v>
      </c>
      <c r="I11" s="37">
        <v>0</v>
      </c>
      <c r="J11" s="37">
        <v>244.8</v>
      </c>
      <c r="K11" s="37">
        <v>2479.1</v>
      </c>
      <c r="L11" s="37">
        <v>46485.8</v>
      </c>
      <c r="M11" s="37">
        <v>29620.49</v>
      </c>
      <c r="N11" s="37">
        <v>3605.59</v>
      </c>
      <c r="O11" s="37">
        <v>5914.83</v>
      </c>
      <c r="P11" s="37">
        <v>274.18</v>
      </c>
      <c r="Q11" s="37">
        <v>363.6</v>
      </c>
      <c r="R11" s="37">
        <v>9794.6</v>
      </c>
      <c r="S11" s="37">
        <v>3439.14</v>
      </c>
      <c r="T11" s="37">
        <v>5.9</v>
      </c>
      <c r="U11" s="37">
        <v>231.14</v>
      </c>
      <c r="V11" s="37">
        <v>14916.53</v>
      </c>
      <c r="W11" s="37">
        <v>18592.71</v>
      </c>
      <c r="X11" s="37">
        <v>352.68</v>
      </c>
      <c r="Y11" s="37">
        <v>880.48</v>
      </c>
      <c r="Z11" s="37"/>
      <c r="AA11" s="27"/>
    </row>
    <row r="12" spans="1:48" s="33" customFormat="1" ht="9" customHeight="1">
      <c r="A12" s="40" t="s">
        <v>18</v>
      </c>
      <c r="B12" s="37">
        <v>1947.4</v>
      </c>
      <c r="C12" s="37">
        <v>32283.119999999999</v>
      </c>
      <c r="D12" s="37">
        <v>2277.69</v>
      </c>
      <c r="E12" s="37">
        <v>34560.81</v>
      </c>
      <c r="F12" s="37">
        <v>16510.3</v>
      </c>
      <c r="G12" s="37">
        <v>13.9</v>
      </c>
      <c r="H12" s="37">
        <v>120.4</v>
      </c>
      <c r="I12" s="37">
        <v>0</v>
      </c>
      <c r="J12" s="37">
        <v>134.30000000000001</v>
      </c>
      <c r="K12" s="37" t="s">
        <v>17</v>
      </c>
      <c r="L12" s="37" t="e">
        <v>#VALUE!</v>
      </c>
      <c r="M12" s="37">
        <v>34560.81</v>
      </c>
      <c r="N12" s="37">
        <v>3622.78</v>
      </c>
      <c r="O12" s="37">
        <v>10202.879999999999</v>
      </c>
      <c r="P12" s="37">
        <v>270.75</v>
      </c>
      <c r="Q12" s="37">
        <v>148.80000000000001</v>
      </c>
      <c r="R12" s="37">
        <v>14096.41</v>
      </c>
      <c r="S12" s="37">
        <v>3914.14</v>
      </c>
      <c r="T12" s="37">
        <v>0.73</v>
      </c>
      <c r="U12" s="37">
        <v>231.14</v>
      </c>
      <c r="V12" s="37">
        <v>15256.46</v>
      </c>
      <c r="W12" s="37">
        <v>19402.47</v>
      </c>
      <c r="X12" s="37">
        <v>396.68</v>
      </c>
      <c r="Y12" s="37">
        <v>665.2</v>
      </c>
      <c r="Z12" s="37"/>
      <c r="AA12" s="27"/>
    </row>
    <row r="13" spans="1:48" s="41" customFormat="1" ht="9" customHeight="1">
      <c r="A13" s="42" t="s">
        <v>16</v>
      </c>
      <c r="B13" s="39">
        <v>2149.8000000000002</v>
      </c>
      <c r="C13" s="37">
        <v>37401.99</v>
      </c>
      <c r="D13" s="37">
        <v>2481.15</v>
      </c>
      <c r="E13" s="37">
        <v>39883.14</v>
      </c>
      <c r="F13" s="39">
        <v>19473.7</v>
      </c>
      <c r="G13" s="39">
        <v>0</v>
      </c>
      <c r="H13" s="39">
        <v>1312.9</v>
      </c>
      <c r="I13" s="39"/>
      <c r="J13" s="39">
        <v>1312.9</v>
      </c>
      <c r="K13" s="39">
        <v>3893.5</v>
      </c>
      <c r="L13" s="39">
        <v>64563.1</v>
      </c>
      <c r="M13" s="39">
        <v>39883.14</v>
      </c>
      <c r="N13" s="37">
        <v>3361.03</v>
      </c>
      <c r="O13" s="37">
        <v>13939.43</v>
      </c>
      <c r="P13" s="37">
        <v>342.2</v>
      </c>
      <c r="Q13" s="39">
        <v>287.89999999999998</v>
      </c>
      <c r="R13" s="37">
        <v>17642.66</v>
      </c>
      <c r="S13" s="37">
        <v>5198.6000000000004</v>
      </c>
      <c r="T13" s="37">
        <v>11.27</v>
      </c>
      <c r="U13" s="37">
        <v>255.14</v>
      </c>
      <c r="V13" s="39">
        <v>16096.45</v>
      </c>
      <c r="W13" s="37">
        <v>21561.46</v>
      </c>
      <c r="X13" s="39">
        <v>467.61</v>
      </c>
      <c r="Y13" s="37">
        <v>211.46</v>
      </c>
      <c r="Z13" s="37"/>
      <c r="AA13" s="27"/>
    </row>
    <row r="14" spans="1:48" s="33" customFormat="1" ht="9" customHeight="1">
      <c r="A14" s="40" t="s">
        <v>15</v>
      </c>
      <c r="B14" s="40">
        <v>2411.6</v>
      </c>
      <c r="C14" s="37">
        <v>42510.66</v>
      </c>
      <c r="D14" s="37">
        <v>2619.7800000000002</v>
      </c>
      <c r="E14" s="37">
        <v>45130.44</v>
      </c>
      <c r="F14" s="38">
        <v>22338.1</v>
      </c>
      <c r="G14" s="38">
        <v>0</v>
      </c>
      <c r="H14" s="38">
        <v>990.8</v>
      </c>
      <c r="I14" s="38">
        <v>0</v>
      </c>
      <c r="J14" s="39">
        <v>990.8</v>
      </c>
      <c r="K14" s="38">
        <v>2939.5</v>
      </c>
      <c r="L14" s="39">
        <v>71399.399999999994</v>
      </c>
      <c r="M14" s="37">
        <v>45130.44</v>
      </c>
      <c r="N14" s="37">
        <v>5272.75</v>
      </c>
      <c r="O14" s="37">
        <v>17742.509999999998</v>
      </c>
      <c r="P14" s="37">
        <v>350.89</v>
      </c>
      <c r="Q14" s="38">
        <v>247.2</v>
      </c>
      <c r="R14" s="37">
        <v>23366.15</v>
      </c>
      <c r="S14" s="37">
        <v>5088.6000000000004</v>
      </c>
      <c r="T14" s="37">
        <v>6.5</v>
      </c>
      <c r="U14" s="37">
        <v>310.66000000000003</v>
      </c>
      <c r="V14" s="38">
        <v>15630</v>
      </c>
      <c r="W14" s="37">
        <v>21035.759999999998</v>
      </c>
      <c r="X14" s="39">
        <v>815.37</v>
      </c>
      <c r="Y14" s="37">
        <v>-86.83</v>
      </c>
      <c r="Z14" s="37"/>
      <c r="AA14" s="27"/>
    </row>
    <row r="15" spans="1:48" s="33" customFormat="1" ht="9" customHeight="1">
      <c r="A15" s="40" t="s">
        <v>14</v>
      </c>
      <c r="B15" s="40">
        <v>3349.1</v>
      </c>
      <c r="C15" s="37">
        <v>48144.94</v>
      </c>
      <c r="D15" s="37">
        <v>2941.22</v>
      </c>
      <c r="E15" s="37">
        <v>51086.16</v>
      </c>
      <c r="F15" s="38">
        <v>27316.2</v>
      </c>
      <c r="G15" s="38">
        <v>0</v>
      </c>
      <c r="H15" s="38">
        <v>995</v>
      </c>
      <c r="I15" s="38">
        <v>159.80000000000001</v>
      </c>
      <c r="J15" s="39">
        <v>1154.8</v>
      </c>
      <c r="K15" s="38">
        <v>-40686.800000000003</v>
      </c>
      <c r="L15" s="39">
        <v>38841.199999999997</v>
      </c>
      <c r="M15" s="37">
        <v>51086.16</v>
      </c>
      <c r="N15" s="37">
        <v>4980.63</v>
      </c>
      <c r="O15" s="37">
        <v>21418.12</v>
      </c>
      <c r="P15" s="37">
        <v>402.1</v>
      </c>
      <c r="Q15" s="38"/>
      <c r="R15" s="37">
        <v>26800.85</v>
      </c>
      <c r="S15" s="37">
        <v>4228.6000000000004</v>
      </c>
      <c r="T15" s="37">
        <v>5.5</v>
      </c>
      <c r="U15" s="37">
        <v>390.82</v>
      </c>
      <c r="V15" s="38">
        <v>18520</v>
      </c>
      <c r="W15" s="37">
        <v>23144.92</v>
      </c>
      <c r="X15" s="38">
        <v>846.74</v>
      </c>
      <c r="Y15" s="37">
        <v>293.62</v>
      </c>
      <c r="Z15" s="37"/>
      <c r="AA15" s="27"/>
      <c r="AB15" s="36"/>
      <c r="AC15" s="36"/>
      <c r="AD15" s="36"/>
      <c r="AE15" s="34"/>
      <c r="AF15" s="36"/>
      <c r="AG15" s="34"/>
      <c r="AH15" s="35"/>
      <c r="AI15" s="35"/>
      <c r="AJ15" s="35"/>
      <c r="AK15" s="35"/>
      <c r="AL15" s="36"/>
      <c r="AM15" s="35"/>
      <c r="AN15" s="35"/>
      <c r="AO15" s="35"/>
      <c r="AP15" s="35"/>
      <c r="AQ15" s="36"/>
      <c r="AR15" s="35"/>
      <c r="AS15" s="36"/>
      <c r="AT15" s="35"/>
      <c r="AU15" s="35"/>
      <c r="AV15" s="34"/>
    </row>
    <row r="16" spans="1:48" s="33" customFormat="1" ht="9" customHeight="1">
      <c r="A16" s="40" t="s">
        <v>13</v>
      </c>
      <c r="B16" s="40"/>
      <c r="C16" s="37">
        <v>54500.72</v>
      </c>
      <c r="D16" s="37">
        <v>4725.1899999999996</v>
      </c>
      <c r="E16" s="37">
        <v>59225.91</v>
      </c>
      <c r="F16" s="38">
        <v>29947.8</v>
      </c>
      <c r="G16" s="38">
        <v>0</v>
      </c>
      <c r="H16" s="38">
        <v>3680.1</v>
      </c>
      <c r="I16" s="38">
        <v>1086.2</v>
      </c>
      <c r="J16" s="39">
        <v>4766.3</v>
      </c>
      <c r="K16" s="38">
        <v>-45520</v>
      </c>
      <c r="L16" s="39">
        <v>48420</v>
      </c>
      <c r="M16" s="39">
        <v>59225.91</v>
      </c>
      <c r="N16" s="37">
        <v>2784.1</v>
      </c>
      <c r="O16" s="37">
        <v>25178.05</v>
      </c>
      <c r="P16" s="37">
        <v>473.84</v>
      </c>
      <c r="Q16" s="38"/>
      <c r="R16" s="37">
        <v>28435.99</v>
      </c>
      <c r="S16" s="37">
        <v>5509.5</v>
      </c>
      <c r="T16" s="37">
        <v>3.8</v>
      </c>
      <c r="U16" s="37">
        <v>433.67</v>
      </c>
      <c r="V16" s="38">
        <v>20895</v>
      </c>
      <c r="W16" s="37">
        <v>26841.97</v>
      </c>
      <c r="X16" s="38">
        <v>833.6</v>
      </c>
      <c r="Y16" s="37">
        <v>3114.29</v>
      </c>
      <c r="Z16" s="37"/>
      <c r="AA16" s="27"/>
      <c r="AB16" s="36"/>
      <c r="AC16" s="36"/>
      <c r="AD16" s="36"/>
      <c r="AE16" s="34"/>
      <c r="AF16" s="36"/>
      <c r="AG16" s="34"/>
      <c r="AH16" s="34"/>
      <c r="AI16" s="35"/>
      <c r="AJ16" s="35"/>
      <c r="AK16" s="35"/>
      <c r="AL16" s="36"/>
      <c r="AM16" s="35"/>
      <c r="AN16" s="35"/>
      <c r="AO16" s="35"/>
      <c r="AP16" s="35"/>
      <c r="AQ16" s="36"/>
      <c r="AR16" s="35"/>
      <c r="AS16" s="36"/>
      <c r="AT16" s="35"/>
      <c r="AU16" s="35"/>
      <c r="AV16" s="34"/>
    </row>
    <row r="17" spans="1:250" s="32" customFormat="1" ht="9" customHeight="1">
      <c r="A17" s="40" t="s">
        <v>12</v>
      </c>
      <c r="B17" s="40"/>
      <c r="C17" s="37">
        <v>62793.86</v>
      </c>
      <c r="D17" s="37">
        <v>5540.22</v>
      </c>
      <c r="E17" s="37">
        <v>68334.080000000002</v>
      </c>
      <c r="F17" s="38"/>
      <c r="G17" s="38"/>
      <c r="H17" s="38"/>
      <c r="I17" s="38"/>
      <c r="J17" s="39"/>
      <c r="K17" s="38"/>
      <c r="L17" s="39"/>
      <c r="M17" s="39">
        <v>68334.100000000006</v>
      </c>
      <c r="N17" s="37">
        <v>3345.63</v>
      </c>
      <c r="O17" s="37">
        <v>29786.74</v>
      </c>
      <c r="P17" s="37">
        <v>0</v>
      </c>
      <c r="Q17" s="38"/>
      <c r="R17" s="37">
        <v>33132.379999999997</v>
      </c>
      <c r="S17" s="37">
        <v>4965.38</v>
      </c>
      <c r="T17" s="37">
        <v>3.07</v>
      </c>
      <c r="U17" s="37">
        <v>869.48</v>
      </c>
      <c r="V17" s="38">
        <v>24144</v>
      </c>
      <c r="W17" s="37">
        <v>29982.93</v>
      </c>
      <c r="X17" s="38">
        <v>820.29</v>
      </c>
      <c r="Y17" s="37">
        <v>1863.44</v>
      </c>
      <c r="Z17" s="37">
        <v>2536.04</v>
      </c>
      <c r="AA17" s="27"/>
      <c r="AB17" s="36"/>
      <c r="AC17" s="36"/>
      <c r="AD17" s="36"/>
      <c r="AE17" s="34"/>
      <c r="AF17" s="36"/>
      <c r="AG17" s="34"/>
      <c r="AH17" s="34"/>
      <c r="AI17" s="35"/>
      <c r="AJ17" s="35"/>
      <c r="AK17" s="35"/>
      <c r="AL17" s="36"/>
      <c r="AM17" s="35"/>
      <c r="AN17" s="35"/>
      <c r="AO17" s="35"/>
      <c r="AP17" s="35"/>
      <c r="AQ17" s="36"/>
      <c r="AR17" s="35"/>
      <c r="AS17" s="36"/>
      <c r="AT17" s="35"/>
      <c r="AU17" s="35"/>
      <c r="AV17" s="34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</row>
    <row r="18" spans="1:250" s="17" customFormat="1" ht="9" customHeight="1">
      <c r="A18" s="19" t="s">
        <v>11</v>
      </c>
      <c r="B18" s="19"/>
      <c r="C18" s="29">
        <v>72649.8</v>
      </c>
      <c r="D18" s="29">
        <f>4524.59+1616.59+328.69</f>
        <v>6469.87</v>
      </c>
      <c r="E18" s="29">
        <f t="shared" ref="E18:E27" si="0">C18+D18</f>
        <v>79119.67</v>
      </c>
      <c r="F18" s="29"/>
      <c r="G18" s="29"/>
      <c r="H18" s="29"/>
      <c r="I18" s="29"/>
      <c r="J18" s="29"/>
      <c r="K18" s="29"/>
      <c r="L18" s="29"/>
      <c r="M18" s="29">
        <f t="shared" ref="M18:M27" si="1">R18+W18+X18+Y18+Z18</f>
        <v>79119.67</v>
      </c>
      <c r="N18" s="29">
        <v>3500.54</v>
      </c>
      <c r="O18" s="29">
        <v>35904.25</v>
      </c>
      <c r="P18" s="31" t="s">
        <v>4</v>
      </c>
      <c r="Q18" s="29"/>
      <c r="R18" s="30">
        <v>39404.79</v>
      </c>
      <c r="S18" s="29">
        <v>6621.34</v>
      </c>
      <c r="T18" s="29">
        <v>1.88</v>
      </c>
      <c r="U18" s="29">
        <v>905.72</v>
      </c>
      <c r="V18" s="29">
        <v>25450</v>
      </c>
      <c r="W18" s="29">
        <v>32978.9</v>
      </c>
      <c r="X18" s="29">
        <f>370.45+451.72+1.92</f>
        <v>824.09</v>
      </c>
      <c r="Y18" s="29">
        <v>3124.52</v>
      </c>
      <c r="Z18" s="29">
        <v>2787.37</v>
      </c>
      <c r="AA18" s="27"/>
    </row>
    <row r="19" spans="1:250" s="17" customFormat="1" ht="9" customHeight="1">
      <c r="A19" s="19" t="s">
        <v>10</v>
      </c>
      <c r="B19" s="19"/>
      <c r="C19" s="19">
        <v>86704.75</v>
      </c>
      <c r="D19" s="19">
        <f>3175.26+121.44+389.36</f>
        <v>3686.0600000000004</v>
      </c>
      <c r="E19" s="22">
        <f t="shared" si="0"/>
        <v>90390.81</v>
      </c>
      <c r="F19" s="19"/>
      <c r="G19" s="19"/>
      <c r="H19" s="19"/>
      <c r="I19" s="19"/>
      <c r="J19" s="19"/>
      <c r="K19" s="19"/>
      <c r="L19" s="19"/>
      <c r="M19" s="22">
        <f t="shared" si="1"/>
        <v>90390.81</v>
      </c>
      <c r="N19" s="19">
        <f>3625.4</f>
        <v>3625.4</v>
      </c>
      <c r="O19" s="19">
        <v>43787.22</v>
      </c>
      <c r="P19" s="28" t="s">
        <v>4</v>
      </c>
      <c r="Q19" s="19"/>
      <c r="R19" s="19">
        <f t="shared" ref="R19:R27" si="2">N19+O19</f>
        <v>47412.62</v>
      </c>
      <c r="S19" s="19">
        <v>7027.63</v>
      </c>
      <c r="T19" s="19">
        <v>1.1299999999999999</v>
      </c>
      <c r="U19" s="19">
        <v>1000.33</v>
      </c>
      <c r="V19" s="19">
        <f>30910+363.04</f>
        <v>31273.040000000001</v>
      </c>
      <c r="W19" s="22">
        <f t="shared" ref="W19:W27" si="3">S19+T19+U19+V19</f>
        <v>39302.130000000005</v>
      </c>
      <c r="X19" s="19">
        <v>497.95</v>
      </c>
      <c r="Y19" s="19">
        <v>2073.04</v>
      </c>
      <c r="Z19" s="19">
        <f>4.84+1100.23</f>
        <v>1105.07</v>
      </c>
      <c r="AA19" s="27">
        <f t="shared" ref="AA19:AA27" si="4">C19+D19-N19-O19-S19-T19-U19-V19-X19-Y19-Z19</f>
        <v>5.2295945351943374E-12</v>
      </c>
    </row>
    <row r="20" spans="1:250" s="17" customFormat="1" ht="9" customHeight="1">
      <c r="A20" s="19" t="s">
        <v>9</v>
      </c>
      <c r="B20" s="19"/>
      <c r="C20" s="19">
        <v>102328.18</v>
      </c>
      <c r="D20" s="19">
        <f>3151.1+1105.2</f>
        <v>4256.3</v>
      </c>
      <c r="E20" s="22">
        <f t="shared" si="0"/>
        <v>106584.48</v>
      </c>
      <c r="F20" s="19"/>
      <c r="G20" s="19"/>
      <c r="H20" s="19"/>
      <c r="I20" s="19"/>
      <c r="J20" s="19"/>
      <c r="K20" s="19"/>
      <c r="L20" s="19"/>
      <c r="M20" s="22">
        <f t="shared" si="1"/>
        <v>106584.46</v>
      </c>
      <c r="N20" s="19">
        <v>6334.82</v>
      </c>
      <c r="O20" s="19">
        <v>55042.54</v>
      </c>
      <c r="P20" s="21" t="s">
        <v>4</v>
      </c>
      <c r="Q20" s="19"/>
      <c r="R20" s="19">
        <f t="shared" si="2"/>
        <v>61377.36</v>
      </c>
      <c r="S20" s="19">
        <v>13471.34</v>
      </c>
      <c r="T20" s="19">
        <v>1.19</v>
      </c>
      <c r="U20" s="19">
        <v>1118.5</v>
      </c>
      <c r="V20" s="19">
        <f>25980+344.9</f>
        <v>26324.9</v>
      </c>
      <c r="W20" s="20">
        <f t="shared" si="3"/>
        <v>40915.93</v>
      </c>
      <c r="X20" s="19">
        <v>580.08000000000004</v>
      </c>
      <c r="Y20" s="19">
        <v>2375.44</v>
      </c>
      <c r="Z20" s="19">
        <v>1335.65</v>
      </c>
      <c r="AA20" s="27">
        <f t="shared" si="4"/>
        <v>2.0000000002255547E-2</v>
      </c>
    </row>
    <row r="21" spans="1:250" s="17" customFormat="1" ht="9" customHeight="1">
      <c r="A21" s="19" t="s">
        <v>8</v>
      </c>
      <c r="B21" s="19"/>
      <c r="C21" s="19">
        <f>140507.29+202.6</f>
        <v>140709.89000000001</v>
      </c>
      <c r="D21" s="19">
        <f>145283.39-140507.29+221.2-3.8</f>
        <v>4993.5000000000055</v>
      </c>
      <c r="E21" s="19">
        <f t="shared" si="0"/>
        <v>145703.39000000001</v>
      </c>
      <c r="F21" s="19"/>
      <c r="G21" s="19"/>
      <c r="H21" s="19"/>
      <c r="I21" s="19"/>
      <c r="J21" s="19"/>
      <c r="K21" s="19"/>
      <c r="L21" s="19"/>
      <c r="M21" s="22">
        <f t="shared" si="1"/>
        <v>145703.38999999998</v>
      </c>
      <c r="N21" s="19">
        <f>15617.2-53.3</f>
        <v>15563.900000000001</v>
      </c>
      <c r="O21" s="19">
        <f>79468.78+296.9</f>
        <v>79765.679999999993</v>
      </c>
      <c r="P21" s="21" t="s">
        <v>4</v>
      </c>
      <c r="Q21" s="19">
        <v>0</v>
      </c>
      <c r="R21" s="19">
        <f t="shared" si="2"/>
        <v>95329.579999999987</v>
      </c>
      <c r="S21" s="19">
        <f>13800.48-96.8</f>
        <v>13703.68</v>
      </c>
      <c r="T21" s="19">
        <v>0.42</v>
      </c>
      <c r="U21" s="19">
        <f>2198.49-24.9</f>
        <v>2173.5899999999997</v>
      </c>
      <c r="V21" s="19">
        <f>27784.81+15.2</f>
        <v>27800.010000000002</v>
      </c>
      <c r="W21" s="22">
        <f t="shared" si="3"/>
        <v>43677.700000000004</v>
      </c>
      <c r="X21" s="19">
        <f>1192.44+3.2-3.8</f>
        <v>1191.8400000000001</v>
      </c>
      <c r="Y21" s="19">
        <f>2897.59+992.6</f>
        <v>3890.19</v>
      </c>
      <c r="Z21" s="19">
        <f>2323.18-709.1</f>
        <v>1614.08</v>
      </c>
      <c r="AA21" s="27">
        <f t="shared" si="4"/>
        <v>2.9558577807620168E-11</v>
      </c>
    </row>
    <row r="22" spans="1:250" s="17" customFormat="1" ht="9" customHeight="1">
      <c r="A22" s="19" t="s">
        <v>7</v>
      </c>
      <c r="B22" s="19"/>
      <c r="C22" s="19">
        <f>163548575/1000</f>
        <v>163548.57500000001</v>
      </c>
      <c r="D22" s="19">
        <f>(4202886+733272+1205652)/1000</f>
        <v>6141.81</v>
      </c>
      <c r="E22" s="19">
        <f t="shared" si="0"/>
        <v>169690.38500000001</v>
      </c>
      <c r="F22" s="19"/>
      <c r="G22" s="19"/>
      <c r="H22" s="19"/>
      <c r="I22" s="19"/>
      <c r="J22" s="19"/>
      <c r="K22" s="19"/>
      <c r="L22" s="19"/>
      <c r="M22" s="22">
        <f t="shared" si="1"/>
        <v>169690.38499999998</v>
      </c>
      <c r="N22" s="19">
        <f>24862282/1000</f>
        <v>24862.281999999999</v>
      </c>
      <c r="O22" s="19">
        <f>91576300/1000</f>
        <v>91576.3</v>
      </c>
      <c r="P22" s="21" t="s">
        <v>4</v>
      </c>
      <c r="Q22" s="21" t="s">
        <v>4</v>
      </c>
      <c r="R22" s="19">
        <f t="shared" si="2"/>
        <v>116438.58199999999</v>
      </c>
      <c r="S22" s="19">
        <f>14130105/1000</f>
        <v>14130.105</v>
      </c>
      <c r="T22" s="19">
        <v>0</v>
      </c>
      <c r="U22" s="19">
        <f>2220531/1000</f>
        <v>2220.5309999999999</v>
      </c>
      <c r="V22" s="19">
        <f>26660000/1000</f>
        <v>26660</v>
      </c>
      <c r="W22" s="22">
        <f t="shared" si="3"/>
        <v>43010.635999999999</v>
      </c>
      <c r="X22" s="19">
        <f>(820714+328858+2168)/1000</f>
        <v>1151.74</v>
      </c>
      <c r="Y22" s="19">
        <f>7380801/1000</f>
        <v>7380.8010000000004</v>
      </c>
      <c r="Z22" s="19">
        <f>1708626/1000</f>
        <v>1708.626</v>
      </c>
      <c r="AA22" s="27">
        <f t="shared" si="4"/>
        <v>0</v>
      </c>
    </row>
    <row r="23" spans="1:250" s="17" customFormat="1" ht="9" customHeight="1">
      <c r="A23" s="19" t="s">
        <v>6</v>
      </c>
      <c r="B23" s="19"/>
      <c r="C23" s="19">
        <f>187565345/1000</f>
        <v>187565.345</v>
      </c>
      <c r="D23" s="19">
        <f>(4628002+803617+1446282)/1000</f>
        <v>6877.9009999999998</v>
      </c>
      <c r="E23" s="19">
        <f t="shared" si="0"/>
        <v>194443.24600000001</v>
      </c>
      <c r="F23" s="19"/>
      <c r="G23" s="19"/>
      <c r="H23" s="19"/>
      <c r="I23" s="19"/>
      <c r="J23" s="19"/>
      <c r="K23" s="19"/>
      <c r="L23" s="19"/>
      <c r="M23" s="22">
        <f t="shared" si="1"/>
        <v>194443.24599999998</v>
      </c>
      <c r="N23" s="19">
        <f>24819626/1000</f>
        <v>24819.626</v>
      </c>
      <c r="O23" s="19">
        <f>104115956/1000</f>
        <v>104115.95600000001</v>
      </c>
      <c r="P23" s="21" t="s">
        <v>4</v>
      </c>
      <c r="Q23" s="19"/>
      <c r="R23" s="19">
        <f t="shared" si="2"/>
        <v>128935.58200000001</v>
      </c>
      <c r="S23" s="19">
        <f>15226398/1000</f>
        <v>15226.397999999999</v>
      </c>
      <c r="T23" s="19">
        <v>0</v>
      </c>
      <c r="U23" s="19">
        <f>2220531/1000</f>
        <v>2220.5309999999999</v>
      </c>
      <c r="V23" s="19">
        <f>36870000/1000</f>
        <v>36870</v>
      </c>
      <c r="W23" s="20">
        <f t="shared" si="3"/>
        <v>54316.929000000004</v>
      </c>
      <c r="X23" s="19">
        <f>(788304+320306+2168)/1000</f>
        <v>1110.778</v>
      </c>
      <c r="Y23" s="19">
        <f>8014774/1000</f>
        <v>8014.7740000000003</v>
      </c>
      <c r="Z23" s="19">
        <f>2065183/1000</f>
        <v>2065.183</v>
      </c>
      <c r="AA23" s="18">
        <f t="shared" si="4"/>
        <v>1.4551915228366852E-11</v>
      </c>
    </row>
    <row r="24" spans="1:250" s="17" customFormat="1" ht="9" customHeight="1">
      <c r="A24" s="19" t="s">
        <v>5</v>
      </c>
      <c r="B24" s="19"/>
      <c r="C24" s="19">
        <v>217605.82199999999</v>
      </c>
      <c r="D24" s="19">
        <f>4723.804+875.037+1513.795</f>
        <v>7112.6360000000004</v>
      </c>
      <c r="E24" s="19">
        <f t="shared" si="0"/>
        <v>224718.45799999998</v>
      </c>
      <c r="F24" s="19"/>
      <c r="G24" s="19"/>
      <c r="H24" s="19"/>
      <c r="I24" s="19"/>
      <c r="J24" s="19"/>
      <c r="K24" s="19"/>
      <c r="L24" s="19"/>
      <c r="M24" s="22">
        <f t="shared" si="1"/>
        <v>224718.45800000001</v>
      </c>
      <c r="N24" s="19">
        <f>23365508/1000</f>
        <v>23365.508000000002</v>
      </c>
      <c r="O24" s="19">
        <f>118148414/1000</f>
        <v>118148.414</v>
      </c>
      <c r="P24" s="21" t="s">
        <v>4</v>
      </c>
      <c r="Q24" s="19"/>
      <c r="R24" s="19">
        <f t="shared" si="2"/>
        <v>141513.92200000002</v>
      </c>
      <c r="S24" s="19">
        <f>15465621/1000</f>
        <v>15465.620999999999</v>
      </c>
      <c r="T24" s="19">
        <v>0</v>
      </c>
      <c r="U24" s="19">
        <f>2220531/1000</f>
        <v>2220.5309999999999</v>
      </c>
      <c r="V24" s="19">
        <f>58042356/1000</f>
        <v>58042.356</v>
      </c>
      <c r="W24" s="20">
        <f t="shared" si="3"/>
        <v>75728.508000000002</v>
      </c>
      <c r="X24" s="19">
        <f>(757706+377966+2168)/1000</f>
        <v>1137.8399999999999</v>
      </c>
      <c r="Y24" s="19">
        <f>4173386/1000</f>
        <v>4173.3860000000004</v>
      </c>
      <c r="Z24" s="19">
        <f>2164802/1000</f>
        <v>2164.8020000000001</v>
      </c>
      <c r="AA24" s="18">
        <f t="shared" si="4"/>
        <v>-2.4101609596982598E-11</v>
      </c>
    </row>
    <row r="25" spans="1:250" s="17" customFormat="1" ht="9" customHeight="1">
      <c r="A25" s="19" t="s">
        <v>3</v>
      </c>
      <c r="B25" s="24"/>
      <c r="C25" s="23">
        <v>244145.4</v>
      </c>
      <c r="D25" s="23">
        <f>4659+2479</f>
        <v>7138</v>
      </c>
      <c r="E25" s="19">
        <f t="shared" si="0"/>
        <v>251283.4</v>
      </c>
      <c r="F25" s="19"/>
      <c r="G25" s="19"/>
      <c r="H25" s="19"/>
      <c r="I25" s="19"/>
      <c r="J25" s="19"/>
      <c r="K25" s="19"/>
      <c r="L25" s="19"/>
      <c r="M25" s="22">
        <f t="shared" si="1"/>
        <v>251283.3</v>
      </c>
      <c r="N25" s="19">
        <v>28471</v>
      </c>
      <c r="O25" s="19">
        <v>138189.9</v>
      </c>
      <c r="P25" s="21"/>
      <c r="Q25" s="19"/>
      <c r="R25" s="19">
        <f t="shared" si="2"/>
        <v>166660.9</v>
      </c>
      <c r="S25" s="19">
        <v>15390.4</v>
      </c>
      <c r="T25" s="19">
        <v>0</v>
      </c>
      <c r="U25" s="19">
        <v>2780</v>
      </c>
      <c r="V25" s="19">
        <v>60520</v>
      </c>
      <c r="W25" s="20">
        <f t="shared" si="3"/>
        <v>78690.399999999994</v>
      </c>
      <c r="X25" s="19">
        <v>1181</v>
      </c>
      <c r="Y25" s="19">
        <v>2521</v>
      </c>
      <c r="Z25" s="19">
        <v>2230</v>
      </c>
      <c r="AA25" s="18">
        <f t="shared" si="4"/>
        <v>0.10000000000582077</v>
      </c>
    </row>
    <row r="26" spans="1:250" s="17" customFormat="1" ht="9" customHeight="1">
      <c r="A26" s="19" t="s">
        <v>2</v>
      </c>
      <c r="B26" s="24"/>
      <c r="C26" s="23">
        <f>285204.535</f>
        <v>285204.53499999997</v>
      </c>
      <c r="D26" s="23">
        <v>11177.629918389999</v>
      </c>
      <c r="E26" s="19">
        <f t="shared" si="0"/>
        <v>296382.16491838999</v>
      </c>
      <c r="F26" s="19"/>
      <c r="G26" s="19"/>
      <c r="H26" s="19"/>
      <c r="I26" s="19"/>
      <c r="J26" s="19"/>
      <c r="K26" s="19"/>
      <c r="L26" s="19"/>
      <c r="M26" s="22">
        <f t="shared" si="1"/>
        <v>296382.15499999997</v>
      </c>
      <c r="N26" s="19">
        <v>40354.92</v>
      </c>
      <c r="O26" s="19">
        <v>178182.61300000001</v>
      </c>
      <c r="P26" s="21"/>
      <c r="Q26" s="19"/>
      <c r="R26" s="19">
        <f t="shared" si="2"/>
        <v>218537.533</v>
      </c>
      <c r="S26" s="19">
        <v>14988.044</v>
      </c>
      <c r="T26" s="19">
        <v>0</v>
      </c>
      <c r="U26" s="19">
        <v>4806.6279999999997</v>
      </c>
      <c r="V26" s="19">
        <v>52500</v>
      </c>
      <c r="W26" s="20">
        <f t="shared" si="3"/>
        <v>72294.671999999991</v>
      </c>
      <c r="X26" s="19">
        <f>750+600</f>
        <v>1350</v>
      </c>
      <c r="Y26" s="19">
        <v>1926.77</v>
      </c>
      <c r="Z26" s="19">
        <f>54.68+2218.5</f>
        <v>2273.1799999999998</v>
      </c>
      <c r="AA26" s="18">
        <f t="shared" si="4"/>
        <v>9.9183899919808027E-3</v>
      </c>
    </row>
    <row r="27" spans="1:250" s="25" customFormat="1" ht="9" customHeight="1">
      <c r="A27" s="19" t="s">
        <v>1</v>
      </c>
      <c r="B27" s="19"/>
      <c r="C27" s="19">
        <v>309848.36700000003</v>
      </c>
      <c r="D27" s="19">
        <f>28487.354057+1309.481917+3078.417858</f>
        <v>32875.253832000002</v>
      </c>
      <c r="E27" s="19">
        <f t="shared" si="0"/>
        <v>342723.62083200004</v>
      </c>
      <c r="F27" s="19"/>
      <c r="G27" s="19"/>
      <c r="H27" s="19"/>
      <c r="I27" s="19"/>
      <c r="J27" s="19"/>
      <c r="K27" s="19"/>
      <c r="L27" s="19"/>
      <c r="M27" s="19">
        <f t="shared" si="1"/>
        <v>342723.66819746996</v>
      </c>
      <c r="N27" s="19">
        <v>52280.43</v>
      </c>
      <c r="O27" s="19">
        <v>180786.71751300001</v>
      </c>
      <c r="P27" s="19"/>
      <c r="Q27" s="19"/>
      <c r="R27" s="19">
        <f t="shared" si="2"/>
        <v>233067.147513</v>
      </c>
      <c r="S27" s="19">
        <v>525.66800000000001</v>
      </c>
      <c r="T27" s="19">
        <v>0</v>
      </c>
      <c r="U27" s="19">
        <v>22466.613229999999</v>
      </c>
      <c r="V27" s="19">
        <v>78318.100000000006</v>
      </c>
      <c r="W27" s="19">
        <f t="shared" si="3"/>
        <v>101310.38123</v>
      </c>
      <c r="X27" s="19">
        <f>712.346+497.996+17.499</f>
        <v>1227.8410000000001</v>
      </c>
      <c r="Y27" s="19">
        <v>3214.5264544699708</v>
      </c>
      <c r="Z27" s="19">
        <v>3903.7719999999999</v>
      </c>
      <c r="AA27" s="26">
        <f t="shared" si="4"/>
        <v>-4.7365469943997596E-2</v>
      </c>
    </row>
    <row r="28" spans="1:250" s="17" customFormat="1" ht="9" customHeight="1">
      <c r="A28" s="19" t="s">
        <v>92</v>
      </c>
      <c r="B28" s="24"/>
      <c r="C28" s="23">
        <v>349631.35</v>
      </c>
      <c r="D28" s="23">
        <v>34377.94</v>
      </c>
      <c r="E28" s="19">
        <v>384009.29</v>
      </c>
      <c r="F28" s="19"/>
      <c r="G28" s="19"/>
      <c r="H28" s="19"/>
      <c r="I28" s="19"/>
      <c r="J28" s="19"/>
      <c r="K28" s="19"/>
      <c r="L28" s="19"/>
      <c r="M28" s="22">
        <v>384009.29</v>
      </c>
      <c r="N28" s="19">
        <v>61413.24</v>
      </c>
      <c r="O28" s="19">
        <v>190916.16</v>
      </c>
      <c r="P28" s="21"/>
      <c r="Q28" s="19"/>
      <c r="R28" s="19">
        <v>252329.4</v>
      </c>
      <c r="S28" s="19">
        <v>775.98</v>
      </c>
      <c r="T28" s="19">
        <v>0</v>
      </c>
      <c r="U28" s="19">
        <v>22061.86</v>
      </c>
      <c r="V28" s="19">
        <v>101897.5</v>
      </c>
      <c r="W28" s="20">
        <v>124735.34</v>
      </c>
      <c r="X28" s="19">
        <v>1250.47</v>
      </c>
      <c r="Y28" s="19">
        <v>2974.49</v>
      </c>
      <c r="Z28" s="19">
        <v>2719.59</v>
      </c>
      <c r="AA28" s="18">
        <v>-1.1823431123048067E-11</v>
      </c>
    </row>
    <row r="29" spans="1:250" s="17" customFormat="1" ht="9" customHeight="1">
      <c r="A29" s="19" t="s">
        <v>93</v>
      </c>
      <c r="B29" s="24"/>
      <c r="C29" s="23">
        <v>396632.86054700002</v>
      </c>
      <c r="D29" s="23">
        <v>46202.917889000004</v>
      </c>
      <c r="E29" s="19">
        <v>442835.77843599999</v>
      </c>
      <c r="F29" s="19"/>
      <c r="G29" s="19"/>
      <c r="H29" s="19"/>
      <c r="I29" s="19"/>
      <c r="J29" s="19"/>
      <c r="K29" s="19"/>
      <c r="L29" s="19"/>
      <c r="M29" s="20">
        <v>442835.77843599999</v>
      </c>
      <c r="N29" s="19">
        <v>68444.320844000002</v>
      </c>
      <c r="O29" s="19">
        <v>201622.568241</v>
      </c>
      <c r="P29" s="21"/>
      <c r="Q29" s="19"/>
      <c r="R29" s="19">
        <v>270066.88908500003</v>
      </c>
      <c r="S29" s="19">
        <v>320</v>
      </c>
      <c r="T29" s="19">
        <v>0</v>
      </c>
      <c r="U29" s="19">
        <v>35551.960693999994</v>
      </c>
      <c r="V29" s="19">
        <v>130770.8</v>
      </c>
      <c r="W29" s="20">
        <v>166642.760694</v>
      </c>
      <c r="X29" s="19">
        <v>1448.7331810000001</v>
      </c>
      <c r="Y29" s="19">
        <v>3235.2874919999999</v>
      </c>
      <c r="Z29" s="19">
        <v>1442.107984</v>
      </c>
      <c r="AA29" s="18"/>
    </row>
    <row r="30" spans="1:250" s="17" customFormat="1" ht="9" customHeight="1">
      <c r="A30" s="71" t="s">
        <v>94</v>
      </c>
      <c r="B30" s="24"/>
      <c r="C30" s="23">
        <v>416361.12890788994</v>
      </c>
      <c r="D30" s="23">
        <v>43063.650384595996</v>
      </c>
      <c r="E30" s="19">
        <v>459424.77929248591</v>
      </c>
      <c r="F30" s="19"/>
      <c r="G30" s="19"/>
      <c r="H30" s="19"/>
      <c r="I30" s="19"/>
      <c r="J30" s="19"/>
      <c r="K30" s="19"/>
      <c r="L30" s="19"/>
      <c r="M30" s="20">
        <v>459424.77929248597</v>
      </c>
      <c r="N30" s="19">
        <v>75979.780458661029</v>
      </c>
      <c r="O30" s="19">
        <v>224621.81205724407</v>
      </c>
      <c r="P30" s="21"/>
      <c r="Q30" s="19"/>
      <c r="R30" s="19">
        <v>300601.5925159051</v>
      </c>
      <c r="S30" s="19">
        <v>320</v>
      </c>
      <c r="T30" s="19">
        <v>0</v>
      </c>
      <c r="U30" s="19">
        <v>27877.890421189997</v>
      </c>
      <c r="V30" s="19">
        <v>121411.4</v>
      </c>
      <c r="W30" s="20">
        <v>149609.29042119</v>
      </c>
      <c r="X30" s="19">
        <v>1477.5841509115226</v>
      </c>
      <c r="Y30" s="19">
        <v>6487.5422995592698</v>
      </c>
      <c r="Z30" s="19">
        <v>1248.76990492</v>
      </c>
      <c r="AA30" s="18">
        <v>3.2741809263825417E-11</v>
      </c>
    </row>
    <row r="31" spans="1:250" s="17" customFormat="1" ht="9" customHeight="1">
      <c r="A31" s="71" t="s">
        <v>95</v>
      </c>
      <c r="B31" s="24"/>
      <c r="C31" s="23">
        <v>461783.2</v>
      </c>
      <c r="D31" s="23">
        <v>50256.6</v>
      </c>
      <c r="E31" s="19">
        <v>512039.8</v>
      </c>
      <c r="F31" s="19"/>
      <c r="G31" s="19"/>
      <c r="H31" s="19"/>
      <c r="I31" s="19"/>
      <c r="J31" s="19"/>
      <c r="K31" s="19"/>
      <c r="L31" s="19"/>
      <c r="M31" s="20">
        <v>512039.61011003004</v>
      </c>
      <c r="N31" s="19">
        <v>81840.3</v>
      </c>
      <c r="O31" s="19">
        <v>246015.4</v>
      </c>
      <c r="P31" s="21"/>
      <c r="Q31" s="19"/>
      <c r="R31" s="19">
        <v>327855.7</v>
      </c>
      <c r="S31" s="19">
        <v>1054.7</v>
      </c>
      <c r="T31" s="19">
        <v>0</v>
      </c>
      <c r="U31" s="19">
        <v>30931.11011003</v>
      </c>
      <c r="V31" s="19">
        <v>145542.1</v>
      </c>
      <c r="W31" s="20">
        <v>177527.91011003</v>
      </c>
      <c r="X31" s="19">
        <v>1552.3</v>
      </c>
      <c r="Y31" s="19">
        <v>3840.8</v>
      </c>
      <c r="Z31" s="19">
        <v>1262.9000000000001</v>
      </c>
      <c r="AA31" s="18">
        <v>3.2741809263825417E-11</v>
      </c>
    </row>
    <row r="32" spans="1:250">
      <c r="A32" s="12"/>
      <c r="B32" s="10"/>
      <c r="C32" s="16"/>
      <c r="D32" s="16"/>
      <c r="E32" s="12"/>
      <c r="F32" s="12"/>
      <c r="G32" s="12"/>
      <c r="H32" s="12"/>
      <c r="I32" s="12"/>
      <c r="J32" s="12"/>
      <c r="K32" s="12"/>
      <c r="L32" s="12"/>
      <c r="M32" s="15"/>
      <c r="N32" s="12"/>
      <c r="O32" s="12"/>
      <c r="P32" s="14"/>
      <c r="Q32" s="12"/>
      <c r="R32" s="12"/>
      <c r="S32" s="12"/>
      <c r="T32" s="12"/>
      <c r="U32" s="12"/>
      <c r="V32" s="12"/>
      <c r="W32" s="13"/>
      <c r="X32" s="12"/>
      <c r="Y32" s="12"/>
      <c r="Z32" s="12"/>
      <c r="AA32" s="11"/>
    </row>
    <row r="33" spans="1:27" ht="12" customHeight="1">
      <c r="A33" s="162" t="s">
        <v>0</v>
      </c>
      <c r="B33" s="162"/>
      <c r="C33" s="162"/>
      <c r="D33" s="16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7" s="8" customForma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7">
      <c r="C36" s="1"/>
      <c r="D36" s="1"/>
    </row>
    <row r="37" spans="1:27">
      <c r="C37" s="1"/>
      <c r="D37" s="1"/>
      <c r="M37" s="6"/>
      <c r="N37" s="5"/>
      <c r="O37" s="5"/>
      <c r="P37" s="5"/>
      <c r="Q37" s="5"/>
      <c r="R37" s="5"/>
      <c r="S37" s="5"/>
      <c r="T37" s="5"/>
      <c r="U37" s="5"/>
      <c r="V37" s="5"/>
      <c r="W37" s="7"/>
    </row>
    <row r="38" spans="1:27">
      <c r="C38" s="1"/>
      <c r="D38" s="1"/>
      <c r="M38" s="6"/>
    </row>
    <row r="39" spans="1:27">
      <c r="C39" s="1"/>
      <c r="D39" s="1"/>
      <c r="N39" s="5"/>
    </row>
    <row r="40" spans="1:27">
      <c r="C40" s="1"/>
      <c r="D40" s="1"/>
    </row>
    <row r="41" spans="1:27">
      <c r="C41" s="1"/>
      <c r="D41" s="1"/>
    </row>
    <row r="42" spans="1:27">
      <c r="C42" s="1"/>
      <c r="D42" s="1"/>
    </row>
    <row r="43" spans="1:27">
      <c r="C43" s="1"/>
      <c r="D43" s="1"/>
    </row>
    <row r="44" spans="1:27">
      <c r="C44" s="1"/>
      <c r="D44" s="1"/>
    </row>
    <row r="45" spans="1:27">
      <c r="C45" s="1"/>
      <c r="D45" s="1"/>
    </row>
    <row r="46" spans="1:27">
      <c r="C46" s="1"/>
      <c r="D46" s="1"/>
    </row>
    <row r="47" spans="1:27">
      <c r="C47" s="1"/>
      <c r="D47" s="1"/>
    </row>
    <row r="48" spans="1:27">
      <c r="C48" s="1"/>
      <c r="D48" s="1"/>
    </row>
    <row r="49" spans="3:4">
      <c r="C49" s="1"/>
      <c r="D49" s="1"/>
    </row>
    <row r="50" spans="3:4">
      <c r="C50" s="1"/>
      <c r="D50" s="1"/>
    </row>
    <row r="51" spans="3:4">
      <c r="C51" s="1"/>
      <c r="D51" s="1"/>
    </row>
    <row r="52" spans="3:4">
      <c r="C52" s="1"/>
      <c r="D52" s="1"/>
    </row>
    <row r="53" spans="3:4">
      <c r="C53" s="1"/>
      <c r="D53" s="1"/>
    </row>
    <row r="54" spans="3:4">
      <c r="C54" s="1"/>
      <c r="D54" s="1"/>
    </row>
    <row r="55" spans="3:4">
      <c r="C55" s="1"/>
      <c r="D55" s="1"/>
    </row>
    <row r="56" spans="3:4">
      <c r="C56" s="1"/>
      <c r="D56" s="1"/>
    </row>
    <row r="57" spans="3:4">
      <c r="C57" s="1"/>
      <c r="D57" s="1"/>
    </row>
    <row r="58" spans="3:4">
      <c r="C58" s="1"/>
      <c r="D58" s="1"/>
    </row>
    <row r="59" spans="3:4">
      <c r="C59" s="1"/>
      <c r="D59" s="1"/>
    </row>
    <row r="60" spans="3:4">
      <c r="C60" s="1"/>
      <c r="D60" s="1"/>
    </row>
    <row r="61" spans="3:4">
      <c r="C61" s="1"/>
      <c r="D61" s="1"/>
    </row>
    <row r="62" spans="3:4">
      <c r="C62" s="1"/>
      <c r="D62" s="1"/>
    </row>
    <row r="63" spans="3:4">
      <c r="C63" s="1"/>
      <c r="D63" s="1"/>
    </row>
    <row r="64" spans="3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</sheetData>
  <mergeCells count="32">
    <mergeCell ref="AA8:AA9"/>
    <mergeCell ref="A5:A9"/>
    <mergeCell ref="B5:E6"/>
    <mergeCell ref="M5:M8"/>
    <mergeCell ref="N5:Z5"/>
    <mergeCell ref="T7:T8"/>
    <mergeCell ref="U7:U8"/>
    <mergeCell ref="V7:V8"/>
    <mergeCell ref="W7:W8"/>
    <mergeCell ref="B7:B8"/>
    <mergeCell ref="C7:C8"/>
    <mergeCell ref="D7:D8"/>
    <mergeCell ref="E7:E8"/>
    <mergeCell ref="G7:G8"/>
    <mergeCell ref="I7:I8"/>
    <mergeCell ref="S7:S8"/>
    <mergeCell ref="X6:X8"/>
    <mergeCell ref="Y6:Y8"/>
    <mergeCell ref="Z6:Z8"/>
    <mergeCell ref="S6:W6"/>
    <mergeCell ref="A33:D33"/>
    <mergeCell ref="N7:N8"/>
    <mergeCell ref="O7:O8"/>
    <mergeCell ref="P7:P8"/>
    <mergeCell ref="Q7:Q8"/>
    <mergeCell ref="F6:F8"/>
    <mergeCell ref="G6:J6"/>
    <mergeCell ref="K6:K8"/>
    <mergeCell ref="L6:L8"/>
    <mergeCell ref="N6:R6"/>
    <mergeCell ref="R7:R8"/>
    <mergeCell ref="J7:J8"/>
  </mergeCells>
  <printOptions horizontalCentered="1"/>
  <pageMargins left="0.51181102362204722" right="0.51181102362204722" top="0.6692913385826772" bottom="0" header="0.51181102362204722" footer="0.19685039370078741"/>
  <pageSetup paperSize="9" scale="95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zoomScale="140" zoomScaleNormal="140" workbookViewId="0">
      <pane xSplit="1" ySplit="8" topLeftCell="C27" activePane="bottomRight" state="frozen"/>
      <selection activeCell="C19" sqref="C19"/>
      <selection pane="topRight" activeCell="C19" sqref="C19"/>
      <selection pane="bottomLeft" activeCell="C19" sqref="C19"/>
      <selection pane="bottomRight" activeCell="B36" sqref="B36:N36"/>
    </sheetView>
  </sheetViews>
  <sheetFormatPr defaultRowHeight="9"/>
  <cols>
    <col min="1" max="1" width="16.83203125" style="62" customWidth="1"/>
    <col min="2" max="5" width="13.1640625" style="62" customWidth="1"/>
    <col min="6" max="6" width="13.1640625" style="63" customWidth="1"/>
    <col min="7" max="9" width="13.1640625" style="62" customWidth="1"/>
    <col min="10" max="10" width="12.33203125" style="62" customWidth="1"/>
    <col min="11" max="14" width="13.1640625" style="62" customWidth="1"/>
    <col min="15" max="15" width="10.83203125" style="62" hidden="1" customWidth="1"/>
    <col min="16" max="16" width="0" style="62" hidden="1" customWidth="1"/>
    <col min="17" max="16384" width="9.33203125" style="61"/>
  </cols>
  <sheetData>
    <row r="1" spans="1:16" s="94" customFormat="1" ht="14.1" customHeight="1">
      <c r="A1" s="109" t="s">
        <v>90</v>
      </c>
      <c r="B1" s="108"/>
      <c r="C1" s="108"/>
      <c r="D1" s="108"/>
      <c r="E1" s="108"/>
      <c r="F1" s="107"/>
      <c r="G1" s="106"/>
      <c r="H1" s="106"/>
      <c r="I1" s="106"/>
      <c r="J1" s="106"/>
      <c r="K1" s="106"/>
      <c r="L1" s="106"/>
      <c r="M1" s="106"/>
      <c r="N1" s="105"/>
      <c r="O1" s="95"/>
      <c r="P1" s="95"/>
    </row>
    <row r="2" spans="1:16" s="94" customFormat="1" ht="14.1" customHeight="1">
      <c r="A2" s="104"/>
      <c r="B2" s="103"/>
      <c r="C2" s="103"/>
      <c r="D2" s="103"/>
      <c r="E2" s="103"/>
      <c r="F2" s="102"/>
      <c r="G2" s="101"/>
      <c r="H2" s="101"/>
      <c r="I2" s="101"/>
      <c r="J2" s="101"/>
      <c r="K2" s="101"/>
      <c r="L2" s="101"/>
      <c r="M2" s="101"/>
      <c r="N2" s="100"/>
      <c r="O2" s="95"/>
      <c r="P2" s="95"/>
    </row>
    <row r="3" spans="1:16" s="94" customFormat="1" ht="14.1" customHeight="1">
      <c r="A3" s="104"/>
      <c r="B3" s="103"/>
      <c r="C3" s="103"/>
      <c r="D3" s="103"/>
      <c r="E3" s="103"/>
      <c r="F3" s="102"/>
      <c r="G3" s="101"/>
      <c r="H3" s="101"/>
      <c r="I3" s="101"/>
      <c r="J3" s="101"/>
      <c r="K3" s="101"/>
      <c r="L3" s="101"/>
      <c r="M3" s="101"/>
      <c r="N3" s="100"/>
      <c r="O3" s="95"/>
      <c r="P3" s="95"/>
    </row>
    <row r="4" spans="1:16" s="94" customFormat="1" ht="14.1" customHeight="1">
      <c r="A4" s="99" t="s">
        <v>51</v>
      </c>
      <c r="B4" s="98"/>
      <c r="F4" s="97"/>
      <c r="N4" s="96"/>
      <c r="O4" s="95"/>
      <c r="P4" s="95"/>
    </row>
    <row r="5" spans="1:16" ht="12.75" customHeight="1">
      <c r="A5" s="177" t="s">
        <v>50</v>
      </c>
      <c r="B5" s="180" t="s">
        <v>49</v>
      </c>
      <c r="C5" s="181"/>
      <c r="D5" s="181"/>
      <c r="E5" s="182"/>
      <c r="F5" s="183" t="s">
        <v>43</v>
      </c>
      <c r="G5" s="180" t="s">
        <v>41</v>
      </c>
      <c r="H5" s="181"/>
      <c r="I5" s="181"/>
      <c r="J5" s="181"/>
      <c r="K5" s="182"/>
      <c r="L5" s="93"/>
      <c r="M5" s="186" t="s">
        <v>39</v>
      </c>
      <c r="N5" s="92"/>
    </row>
    <row r="6" spans="1:16">
      <c r="A6" s="178"/>
      <c r="B6" s="91" t="s">
        <v>74</v>
      </c>
      <c r="C6" s="91" t="s">
        <v>73</v>
      </c>
      <c r="D6" s="90" t="s">
        <v>67</v>
      </c>
      <c r="E6" s="90" t="s">
        <v>32</v>
      </c>
      <c r="F6" s="184"/>
      <c r="G6" s="90" t="s">
        <v>72</v>
      </c>
      <c r="H6" s="189" t="s">
        <v>24</v>
      </c>
      <c r="I6" s="90" t="s">
        <v>71</v>
      </c>
      <c r="J6" s="90"/>
      <c r="K6" s="189" t="s">
        <v>23</v>
      </c>
      <c r="L6" s="89" t="s">
        <v>70</v>
      </c>
      <c r="M6" s="187"/>
      <c r="N6" s="89" t="s">
        <v>69</v>
      </c>
    </row>
    <row r="7" spans="1:16">
      <c r="A7" s="178"/>
      <c r="B7" s="88" t="s">
        <v>68</v>
      </c>
      <c r="C7" s="88" t="s">
        <v>67</v>
      </c>
      <c r="D7" s="87" t="s">
        <v>66</v>
      </c>
      <c r="E7" s="87" t="s">
        <v>65</v>
      </c>
      <c r="F7" s="185"/>
      <c r="G7" s="87" t="s">
        <v>64</v>
      </c>
      <c r="H7" s="188"/>
      <c r="I7" s="87" t="s">
        <v>63</v>
      </c>
      <c r="J7" s="87" t="s">
        <v>62</v>
      </c>
      <c r="K7" s="188"/>
      <c r="L7" s="87" t="s">
        <v>61</v>
      </c>
      <c r="M7" s="188"/>
      <c r="N7" s="87" t="s">
        <v>60</v>
      </c>
    </row>
    <row r="8" spans="1:16">
      <c r="A8" s="179"/>
      <c r="B8" s="85">
        <v>1</v>
      </c>
      <c r="C8" s="84">
        <v>2</v>
      </c>
      <c r="D8" s="84">
        <v>3</v>
      </c>
      <c r="E8" s="84">
        <v>4</v>
      </c>
      <c r="F8" s="86">
        <v>5</v>
      </c>
      <c r="G8" s="85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5">
        <v>12</v>
      </c>
      <c r="N8" s="84">
        <v>13</v>
      </c>
    </row>
    <row r="9" spans="1:16" s="65" customFormat="1" ht="9" customHeight="1">
      <c r="A9" s="71" t="s">
        <v>59</v>
      </c>
      <c r="B9" s="81">
        <v>23.86</v>
      </c>
      <c r="C9" s="81">
        <v>-0.14000000000000001</v>
      </c>
      <c r="D9" s="81">
        <v>35.22</v>
      </c>
      <c r="E9" s="81">
        <v>14.19</v>
      </c>
      <c r="F9" s="82">
        <v>73.13</v>
      </c>
      <c r="G9" s="81">
        <v>48.12</v>
      </c>
      <c r="H9" s="81">
        <v>5</v>
      </c>
      <c r="I9" s="81">
        <v>2.97</v>
      </c>
      <c r="J9" s="68" t="s">
        <v>4</v>
      </c>
      <c r="K9" s="81">
        <v>56.09</v>
      </c>
      <c r="L9" s="81">
        <v>2.5</v>
      </c>
      <c r="M9" s="81">
        <v>4.46</v>
      </c>
      <c r="N9" s="81">
        <v>10.08</v>
      </c>
      <c r="O9" s="78">
        <v>113.44</v>
      </c>
      <c r="P9" s="79">
        <v>0</v>
      </c>
    </row>
    <row r="10" spans="1:16" s="65" customFormat="1" ht="9" customHeight="1">
      <c r="A10" s="71" t="s">
        <v>58</v>
      </c>
      <c r="B10" s="81">
        <v>23.96</v>
      </c>
      <c r="C10" s="81">
        <v>5.44</v>
      </c>
      <c r="D10" s="81">
        <v>93.84</v>
      </c>
      <c r="E10" s="81">
        <v>19.98</v>
      </c>
      <c r="F10" s="82">
        <v>143.22</v>
      </c>
      <c r="G10" s="81">
        <v>108.01</v>
      </c>
      <c r="H10" s="81">
        <v>7</v>
      </c>
      <c r="I10" s="81">
        <v>7.8040000000000003</v>
      </c>
      <c r="J10" s="68" t="s">
        <v>4</v>
      </c>
      <c r="K10" s="81">
        <v>122.81</v>
      </c>
      <c r="L10" s="68" t="s">
        <v>4</v>
      </c>
      <c r="M10" s="81">
        <v>9.36</v>
      </c>
      <c r="N10" s="81">
        <v>11.05</v>
      </c>
      <c r="O10" s="78">
        <v>138.24</v>
      </c>
      <c r="P10" s="79">
        <v>0</v>
      </c>
    </row>
    <row r="11" spans="1:16" s="65" customFormat="1" ht="9" customHeight="1">
      <c r="A11" s="71" t="s">
        <v>57</v>
      </c>
      <c r="B11" s="81">
        <v>23.96</v>
      </c>
      <c r="C11" s="81">
        <v>6.96</v>
      </c>
      <c r="D11" s="81">
        <v>158.87</v>
      </c>
      <c r="E11" s="81">
        <v>10.199999999999999</v>
      </c>
      <c r="F11" s="82">
        <v>199.98</v>
      </c>
      <c r="G11" s="81">
        <v>130.61000000000001</v>
      </c>
      <c r="H11" s="81">
        <v>35</v>
      </c>
      <c r="I11" s="81">
        <v>8602</v>
      </c>
      <c r="J11" s="68" t="s">
        <v>4</v>
      </c>
      <c r="K11" s="81">
        <v>174.21</v>
      </c>
      <c r="L11" s="68" t="s">
        <v>4</v>
      </c>
      <c r="M11" s="81">
        <v>13.59</v>
      </c>
      <c r="N11" s="81">
        <v>12.18</v>
      </c>
      <c r="O11" s="78">
        <v>200.66</v>
      </c>
      <c r="P11" s="79">
        <v>1.0000000000019327E-2</v>
      </c>
    </row>
    <row r="12" spans="1:16" s="65" customFormat="1" ht="9" customHeight="1">
      <c r="A12" s="71" t="s">
        <v>56</v>
      </c>
      <c r="B12" s="81">
        <v>23.98</v>
      </c>
      <c r="C12" s="81">
        <v>9.39</v>
      </c>
      <c r="D12" s="81">
        <v>282.2</v>
      </c>
      <c r="E12" s="81">
        <v>35.68</v>
      </c>
      <c r="F12" s="82">
        <v>351.25</v>
      </c>
      <c r="G12" s="81">
        <v>167.96</v>
      </c>
      <c r="H12" s="81">
        <v>123.9</v>
      </c>
      <c r="I12" s="81">
        <v>10.18</v>
      </c>
      <c r="J12" s="68" t="s">
        <v>4</v>
      </c>
      <c r="K12" s="81">
        <v>302.02999999999997</v>
      </c>
      <c r="L12" s="81">
        <v>3.73</v>
      </c>
      <c r="M12" s="81">
        <v>22.46</v>
      </c>
      <c r="N12" s="81">
        <v>23.03</v>
      </c>
      <c r="O12" s="78">
        <v>355.87</v>
      </c>
      <c r="P12" s="79">
        <v>0</v>
      </c>
    </row>
    <row r="13" spans="1:16" s="65" customFormat="1" ht="9" customHeight="1">
      <c r="A13" s="71" t="s">
        <v>55</v>
      </c>
      <c r="B13" s="81">
        <v>27.58</v>
      </c>
      <c r="C13" s="81">
        <v>14.34</v>
      </c>
      <c r="D13" s="81">
        <v>563.82000000000005</v>
      </c>
      <c r="E13" s="81">
        <v>51.94</v>
      </c>
      <c r="F13" s="82">
        <v>657.68</v>
      </c>
      <c r="G13" s="81">
        <v>234.12</v>
      </c>
      <c r="H13" s="81">
        <v>233.5</v>
      </c>
      <c r="I13" s="81">
        <v>14.9</v>
      </c>
      <c r="J13" s="68" t="s">
        <v>4</v>
      </c>
      <c r="K13" s="81">
        <v>482.52</v>
      </c>
      <c r="L13" s="81">
        <v>116.53</v>
      </c>
      <c r="M13" s="81">
        <v>26.86</v>
      </c>
      <c r="N13" s="81">
        <v>31.77</v>
      </c>
      <c r="O13" s="78">
        <v>676.86</v>
      </c>
      <c r="P13" s="79">
        <v>0</v>
      </c>
    </row>
    <row r="14" spans="1:16" s="65" customFormat="1" ht="9" customHeight="1">
      <c r="A14" s="71" t="s">
        <v>20</v>
      </c>
      <c r="B14" s="81">
        <v>31.18</v>
      </c>
      <c r="C14" s="81">
        <v>16.02</v>
      </c>
      <c r="D14" s="81">
        <v>989.84</v>
      </c>
      <c r="E14" s="81">
        <v>96.17</v>
      </c>
      <c r="F14" s="82">
        <v>1133.21</v>
      </c>
      <c r="G14" s="81">
        <v>456.89</v>
      </c>
      <c r="H14" s="81">
        <v>272.61</v>
      </c>
      <c r="I14" s="81">
        <v>44.84</v>
      </c>
      <c r="J14" s="68" t="s">
        <v>4</v>
      </c>
      <c r="K14" s="81">
        <v>774.34</v>
      </c>
      <c r="L14" s="81">
        <v>167.14</v>
      </c>
      <c r="M14" s="81">
        <v>92.59</v>
      </c>
      <c r="N14" s="81">
        <v>99.14</v>
      </c>
      <c r="O14" s="78">
        <v>1131.03</v>
      </c>
      <c r="P14" s="79">
        <v>9.9999999997635314E-3</v>
      </c>
    </row>
    <row r="15" spans="1:16" s="65" customFormat="1" ht="9" customHeight="1">
      <c r="A15" s="71" t="s">
        <v>19</v>
      </c>
      <c r="B15" s="81">
        <v>35.18</v>
      </c>
      <c r="C15" s="81">
        <v>14.02</v>
      </c>
      <c r="D15" s="81">
        <v>1529.7</v>
      </c>
      <c r="E15" s="81">
        <v>135.65</v>
      </c>
      <c r="F15" s="82">
        <v>1714.55</v>
      </c>
      <c r="G15" s="81">
        <v>766.22</v>
      </c>
      <c r="H15" s="81">
        <v>304.04000000000002</v>
      </c>
      <c r="I15" s="81">
        <v>60.93</v>
      </c>
      <c r="J15" s="68" t="s">
        <v>4</v>
      </c>
      <c r="K15" s="81">
        <v>1131.19</v>
      </c>
      <c r="L15" s="81">
        <v>316.41000000000003</v>
      </c>
      <c r="M15" s="81">
        <v>121.48</v>
      </c>
      <c r="N15" s="81">
        <v>145.27000000000001</v>
      </c>
      <c r="O15" s="78">
        <v>1705.83</v>
      </c>
      <c r="P15" s="79">
        <v>0</v>
      </c>
    </row>
    <row r="16" spans="1:16" s="65" customFormat="1" ht="9" customHeight="1">
      <c r="A16" s="71" t="s">
        <v>18</v>
      </c>
      <c r="B16" s="81">
        <v>39.99</v>
      </c>
      <c r="C16" s="81">
        <v>13.44</v>
      </c>
      <c r="D16" s="81">
        <v>2749.55</v>
      </c>
      <c r="E16" s="81">
        <v>223.83</v>
      </c>
      <c r="F16" s="82">
        <v>3026.8</v>
      </c>
      <c r="G16" s="81">
        <v>1496.12</v>
      </c>
      <c r="H16" s="81">
        <v>228.23</v>
      </c>
      <c r="I16" s="81">
        <v>138.34</v>
      </c>
      <c r="J16" s="68" t="s">
        <v>4</v>
      </c>
      <c r="K16" s="81">
        <v>1662.71</v>
      </c>
      <c r="L16" s="81">
        <v>573.02</v>
      </c>
      <c r="M16" s="81">
        <v>418.43</v>
      </c>
      <c r="N16" s="81">
        <v>172.64</v>
      </c>
      <c r="O16" s="78">
        <v>3025.91</v>
      </c>
      <c r="P16" s="79">
        <v>0</v>
      </c>
    </row>
    <row r="17" spans="1:16" s="80" customFormat="1" ht="9" customHeight="1">
      <c r="A17" s="83" t="s">
        <v>16</v>
      </c>
      <c r="B17" s="81">
        <v>39.99</v>
      </c>
      <c r="C17" s="81">
        <v>37.89</v>
      </c>
      <c r="D17" s="81">
        <v>4534.1899999999996</v>
      </c>
      <c r="E17" s="81">
        <v>200.34</v>
      </c>
      <c r="F17" s="82">
        <v>4812.43</v>
      </c>
      <c r="G17" s="81">
        <v>1706.15</v>
      </c>
      <c r="H17" s="81">
        <v>899.93</v>
      </c>
      <c r="I17" s="81">
        <v>170.54</v>
      </c>
      <c r="J17" s="68" t="s">
        <v>4</v>
      </c>
      <c r="K17" s="81">
        <v>2776.62</v>
      </c>
      <c r="L17" s="81">
        <v>625.87</v>
      </c>
      <c r="M17" s="81">
        <v>1166.19</v>
      </c>
      <c r="N17" s="81">
        <v>243.74</v>
      </c>
      <c r="O17" s="78">
        <v>4812.47</v>
      </c>
      <c r="P17" s="79">
        <v>2.0000000000436557E-2</v>
      </c>
    </row>
    <row r="18" spans="1:16" s="73" customFormat="1" ht="9" customHeight="1">
      <c r="A18" s="71" t="s">
        <v>15</v>
      </c>
      <c r="B18" s="76">
        <v>39.99</v>
      </c>
      <c r="C18" s="76">
        <v>45.82</v>
      </c>
      <c r="D18" s="76">
        <v>5269</v>
      </c>
      <c r="E18" s="76" t="s">
        <v>54</v>
      </c>
      <c r="F18" s="77">
        <v>5833.28</v>
      </c>
      <c r="G18" s="76">
        <v>1705.09</v>
      </c>
      <c r="H18" s="76">
        <v>1763</v>
      </c>
      <c r="I18" s="76">
        <v>148.32</v>
      </c>
      <c r="J18" s="68" t="s">
        <v>4</v>
      </c>
      <c r="K18" s="76">
        <v>3616.41</v>
      </c>
      <c r="L18" s="76">
        <v>1033.54</v>
      </c>
      <c r="M18" s="76">
        <v>691.84</v>
      </c>
      <c r="N18" s="76">
        <v>491.49</v>
      </c>
      <c r="O18" s="78">
        <v>5831.52</v>
      </c>
      <c r="P18" s="79">
        <v>-9.9999999998544808E-2</v>
      </c>
    </row>
    <row r="19" spans="1:16" s="73" customFormat="1" ht="9" customHeight="1">
      <c r="A19" s="71" t="s">
        <v>14</v>
      </c>
      <c r="B19" s="76">
        <v>39.99</v>
      </c>
      <c r="C19" s="76">
        <v>69.010000000000005</v>
      </c>
      <c r="D19" s="76">
        <v>6716.25</v>
      </c>
      <c r="E19" s="76">
        <v>432.54</v>
      </c>
      <c r="F19" s="77">
        <v>7257.79</v>
      </c>
      <c r="G19" s="76">
        <v>1758.99</v>
      </c>
      <c r="H19" s="76">
        <v>3237.5</v>
      </c>
      <c r="I19" s="76">
        <v>144.51</v>
      </c>
      <c r="J19" s="68" t="s">
        <v>4</v>
      </c>
      <c r="K19" s="76">
        <v>5141</v>
      </c>
      <c r="L19" s="76">
        <v>757.31</v>
      </c>
      <c r="M19" s="76">
        <v>866.06</v>
      </c>
      <c r="N19" s="76">
        <v>493.42</v>
      </c>
      <c r="O19" s="78">
        <v>6784.61</v>
      </c>
      <c r="P19" s="73">
        <v>3.0000000000654836E-2</v>
      </c>
    </row>
    <row r="20" spans="1:16" s="73" customFormat="1" ht="9" customHeight="1">
      <c r="A20" s="71" t="s">
        <v>13</v>
      </c>
      <c r="B20" s="76">
        <v>40</v>
      </c>
      <c r="C20" s="76">
        <v>95.72</v>
      </c>
      <c r="D20" s="76">
        <v>8573.57</v>
      </c>
      <c r="E20" s="76">
        <v>831.91</v>
      </c>
      <c r="F20" s="77">
        <v>9541.19</v>
      </c>
      <c r="G20" s="76">
        <v>2107.12</v>
      </c>
      <c r="H20" s="76">
        <v>4300</v>
      </c>
      <c r="I20" s="76">
        <v>198.5</v>
      </c>
      <c r="J20" s="68" t="s">
        <v>4</v>
      </c>
      <c r="K20" s="76">
        <v>6605.63</v>
      </c>
      <c r="L20" s="76">
        <v>997.07</v>
      </c>
      <c r="M20" s="76">
        <v>1043.42</v>
      </c>
      <c r="N20" s="76">
        <v>895.07</v>
      </c>
      <c r="O20" s="75"/>
      <c r="P20" s="74"/>
    </row>
    <row r="21" spans="1:16" s="73" customFormat="1" ht="9" customHeight="1">
      <c r="A21" s="71" t="s">
        <v>12</v>
      </c>
      <c r="B21" s="76">
        <v>60</v>
      </c>
      <c r="C21" s="76">
        <v>130.86000000000001</v>
      </c>
      <c r="D21" s="76">
        <v>11519.41</v>
      </c>
      <c r="E21" s="76">
        <v>661.16</v>
      </c>
      <c r="F21" s="77">
        <v>12371.42</v>
      </c>
      <c r="G21" s="76">
        <v>2333.7399999999998</v>
      </c>
      <c r="H21" s="76">
        <v>5931.7</v>
      </c>
      <c r="I21" s="76">
        <v>262.83999999999997</v>
      </c>
      <c r="J21" s="68" t="s">
        <v>4</v>
      </c>
      <c r="K21" s="76">
        <v>8528.2800000000007</v>
      </c>
      <c r="L21" s="76">
        <v>2388.5100000000002</v>
      </c>
      <c r="M21" s="76">
        <v>729.57</v>
      </c>
      <c r="N21" s="76">
        <v>725.06</v>
      </c>
      <c r="O21" s="75"/>
      <c r="P21" s="74"/>
    </row>
    <row r="22" spans="1:16" s="73" customFormat="1" ht="9" customHeight="1">
      <c r="A22" s="71" t="s">
        <v>11</v>
      </c>
      <c r="B22" s="76">
        <v>79.989999999999995</v>
      </c>
      <c r="C22" s="76">
        <v>288.83999999999997</v>
      </c>
      <c r="D22" s="76">
        <v>14166.85</v>
      </c>
      <c r="E22" s="76">
        <v>10843.83</v>
      </c>
      <c r="F22" s="77">
        <v>25379.51</v>
      </c>
      <c r="G22" s="76">
        <v>1683.8</v>
      </c>
      <c r="H22" s="76">
        <v>8903.1</v>
      </c>
      <c r="I22" s="76">
        <v>1608</v>
      </c>
      <c r="J22" s="68" t="s">
        <v>4</v>
      </c>
      <c r="K22" s="76">
        <v>12194.9</v>
      </c>
      <c r="L22" s="76">
        <v>2686.8</v>
      </c>
      <c r="M22" s="76">
        <v>9776.99</v>
      </c>
      <c r="N22" s="76">
        <v>720.8</v>
      </c>
      <c r="O22" s="75"/>
      <c r="P22" s="74"/>
    </row>
    <row r="23" spans="1:16" s="65" customFormat="1" ht="9" customHeight="1">
      <c r="A23" s="71" t="s">
        <v>10</v>
      </c>
      <c r="B23" s="67">
        <v>100</v>
      </c>
      <c r="C23" s="67">
        <v>562.44000000000005</v>
      </c>
      <c r="D23" s="67">
        <v>20141.599999999999</v>
      </c>
      <c r="E23" s="67">
        <v>1843.8</v>
      </c>
      <c r="F23" s="69">
        <v>22647.84</v>
      </c>
      <c r="G23" s="67">
        <v>1683.82</v>
      </c>
      <c r="H23" s="67">
        <v>13597</v>
      </c>
      <c r="I23" s="67">
        <v>1624</v>
      </c>
      <c r="J23" s="68" t="s">
        <v>4</v>
      </c>
      <c r="K23" s="67">
        <v>16904.82</v>
      </c>
      <c r="L23" s="67">
        <v>3541</v>
      </c>
      <c r="M23" s="67">
        <v>800</v>
      </c>
      <c r="N23" s="66">
        <v>1401.98</v>
      </c>
      <c r="O23" s="72">
        <v>1401.98</v>
      </c>
      <c r="P23" s="72"/>
    </row>
    <row r="24" spans="1:16" s="65" customFormat="1" ht="9" customHeight="1">
      <c r="A24" s="71" t="s">
        <v>9</v>
      </c>
      <c r="B24" s="67">
        <v>125</v>
      </c>
      <c r="C24" s="67">
        <v>805.88</v>
      </c>
      <c r="D24" s="67">
        <v>23554</v>
      </c>
      <c r="E24" s="67">
        <v>2420.6799999999998</v>
      </c>
      <c r="F24" s="69">
        <v>26905.56</v>
      </c>
      <c r="G24" s="67">
        <v>2163.83</v>
      </c>
      <c r="H24" s="67">
        <v>14691.5</v>
      </c>
      <c r="I24" s="67">
        <v>1931.29</v>
      </c>
      <c r="J24" s="67">
        <v>200</v>
      </c>
      <c r="K24" s="67">
        <v>18986.62</v>
      </c>
      <c r="L24" s="67">
        <v>4363.8</v>
      </c>
      <c r="M24" s="67">
        <v>700</v>
      </c>
      <c r="N24" s="66">
        <v>2855.14</v>
      </c>
      <c r="O24" s="65">
        <v>2855.14</v>
      </c>
    </row>
    <row r="25" spans="1:16" s="65" customFormat="1" ht="9" customHeight="1">
      <c r="A25" s="71" t="s">
        <v>53</v>
      </c>
      <c r="B25" s="67">
        <v>160</v>
      </c>
      <c r="C25" s="67">
        <v>1169</v>
      </c>
      <c r="D25" s="67">
        <v>31388.6</v>
      </c>
      <c r="E25" s="67">
        <v>5350.9</v>
      </c>
      <c r="F25" s="69">
        <v>38068.5</v>
      </c>
      <c r="G25" s="67">
        <v>3274.51</v>
      </c>
      <c r="H25" s="67">
        <v>12857</v>
      </c>
      <c r="I25" s="67">
        <v>2216.34</v>
      </c>
      <c r="J25" s="68" t="s">
        <v>4</v>
      </c>
      <c r="K25" s="67">
        <v>18347.849999999999</v>
      </c>
      <c r="L25" s="67">
        <v>9657.1299999999992</v>
      </c>
      <c r="M25" s="67">
        <v>2800</v>
      </c>
      <c r="N25" s="66">
        <v>7263.55</v>
      </c>
      <c r="O25" s="65">
        <v>1181.81</v>
      </c>
    </row>
    <row r="26" spans="1:16" s="65" customFormat="1" ht="9" customHeight="1">
      <c r="A26" s="71" t="s">
        <v>8</v>
      </c>
      <c r="B26" s="67">
        <v>300</v>
      </c>
      <c r="C26" s="67">
        <v>1052.25</v>
      </c>
      <c r="D26" s="67">
        <v>40324.6</v>
      </c>
      <c r="E26" s="67">
        <v>1076.74</v>
      </c>
      <c r="F26" s="69">
        <v>42753.59</v>
      </c>
      <c r="G26" s="67">
        <v>2524.5</v>
      </c>
      <c r="H26" s="67">
        <v>21838.5</v>
      </c>
      <c r="I26" s="67">
        <v>2930.36</v>
      </c>
      <c r="J26" s="68" t="s">
        <v>4</v>
      </c>
      <c r="K26" s="67">
        <v>27293.360000000001</v>
      </c>
      <c r="L26" s="67">
        <v>11741.1</v>
      </c>
      <c r="M26" s="67">
        <v>1185.1500000000001</v>
      </c>
      <c r="N26" s="66">
        <v>2533.98</v>
      </c>
      <c r="O26" s="65">
        <v>1181.81</v>
      </c>
    </row>
    <row r="27" spans="1:16" s="65" customFormat="1" ht="9" customHeight="1">
      <c r="A27" s="70" t="s">
        <v>7</v>
      </c>
      <c r="B27" s="67">
        <v>450</v>
      </c>
      <c r="C27" s="67">
        <v>1684.69</v>
      </c>
      <c r="D27" s="67">
        <v>51784.1</v>
      </c>
      <c r="E27" s="67">
        <v>702.52</v>
      </c>
      <c r="F27" s="69">
        <v>54621.31</v>
      </c>
      <c r="G27" s="67">
        <v>2470.41</v>
      </c>
      <c r="H27" s="67">
        <v>20895</v>
      </c>
      <c r="I27" s="67">
        <v>2948.7200000000003</v>
      </c>
      <c r="J27" s="68" t="s">
        <v>4</v>
      </c>
      <c r="K27" s="67">
        <v>26314.13</v>
      </c>
      <c r="L27" s="67">
        <v>17905.09</v>
      </c>
      <c r="M27" s="67">
        <v>7562.34</v>
      </c>
      <c r="N27" s="66">
        <v>2839.75</v>
      </c>
      <c r="O27" s="65">
        <v>1181.81</v>
      </c>
    </row>
    <row r="28" spans="1:16" s="65" customFormat="1" ht="9" customHeight="1">
      <c r="A28" s="70" t="s">
        <v>6</v>
      </c>
      <c r="B28" s="67">
        <v>450</v>
      </c>
      <c r="C28" s="67">
        <v>1845.7</v>
      </c>
      <c r="D28" s="67">
        <v>67225.399999999994</v>
      </c>
      <c r="E28" s="67">
        <v>972.3</v>
      </c>
      <c r="F28" s="69">
        <v>70493.399999999994</v>
      </c>
      <c r="G28" s="67">
        <v>2592</v>
      </c>
      <c r="H28" s="67">
        <v>35340</v>
      </c>
      <c r="I28" s="67">
        <v>3791.4</v>
      </c>
      <c r="J28" s="68">
        <v>0</v>
      </c>
      <c r="K28" s="67">
        <v>41723.4</v>
      </c>
      <c r="L28" s="67">
        <v>17373.7</v>
      </c>
      <c r="M28" s="67">
        <v>9313.58</v>
      </c>
      <c r="N28" s="66">
        <v>2082.7200000000003</v>
      </c>
      <c r="O28" s="65">
        <v>1181.81</v>
      </c>
    </row>
    <row r="29" spans="1:16" s="65" customFormat="1" ht="12" customHeight="1">
      <c r="A29" s="70" t="s">
        <v>5</v>
      </c>
      <c r="B29" s="67">
        <v>607.5</v>
      </c>
      <c r="C29" s="67">
        <v>1514.1</v>
      </c>
      <c r="D29" s="67">
        <v>80156.399999999994</v>
      </c>
      <c r="E29" s="67">
        <v>735.4</v>
      </c>
      <c r="F29" s="69">
        <v>83013.399999999994</v>
      </c>
      <c r="G29" s="67">
        <v>1809.3</v>
      </c>
      <c r="H29" s="67">
        <v>57243</v>
      </c>
      <c r="I29" s="67">
        <v>3823.5</v>
      </c>
      <c r="J29" s="68">
        <v>0</v>
      </c>
      <c r="K29" s="67">
        <v>62875.8</v>
      </c>
      <c r="L29" s="67">
        <v>13608.3</v>
      </c>
      <c r="M29" s="67">
        <v>600</v>
      </c>
      <c r="N29" s="66">
        <v>5929.3</v>
      </c>
      <c r="O29" s="65">
        <v>1181.81</v>
      </c>
    </row>
    <row r="30" spans="1:16" s="65" customFormat="1" ht="9" customHeight="1">
      <c r="A30" s="70" t="s">
        <v>3</v>
      </c>
      <c r="B30" s="67">
        <v>740.3</v>
      </c>
      <c r="C30" s="67">
        <v>2322.8766435729599</v>
      </c>
      <c r="D30" s="67">
        <v>93545.1</v>
      </c>
      <c r="E30" s="67">
        <v>2493.3232695699999</v>
      </c>
      <c r="F30" s="69">
        <v>99101.599913142971</v>
      </c>
      <c r="G30" s="67">
        <v>1809.3</v>
      </c>
      <c r="H30" s="67">
        <v>62720</v>
      </c>
      <c r="I30" s="67">
        <v>4035.37</v>
      </c>
      <c r="J30" s="68">
        <v>0</v>
      </c>
      <c r="K30" s="67">
        <v>68564.67</v>
      </c>
      <c r="L30" s="67">
        <v>23108.9</v>
      </c>
      <c r="M30" s="67">
        <v>2283.5</v>
      </c>
      <c r="N30" s="66">
        <v>5144.5259131429602</v>
      </c>
      <c r="O30" s="65">
        <v>1181.81</v>
      </c>
    </row>
    <row r="31" spans="1:16" s="65" customFormat="1" ht="9" customHeight="1">
      <c r="A31" s="70" t="s">
        <v>2</v>
      </c>
      <c r="B31" s="67">
        <v>903.1</v>
      </c>
      <c r="C31" s="67">
        <v>3738.5</v>
      </c>
      <c r="D31" s="67">
        <v>107605.2</v>
      </c>
      <c r="E31" s="67">
        <v>1814.5</v>
      </c>
      <c r="F31" s="69">
        <v>114061.3</v>
      </c>
      <c r="G31" s="67">
        <v>1809.3</v>
      </c>
      <c r="H31" s="67">
        <v>71205.5</v>
      </c>
      <c r="I31" s="67">
        <v>4802.3</v>
      </c>
      <c r="J31" s="68">
        <v>0</v>
      </c>
      <c r="K31" s="67">
        <v>77817.100000000006</v>
      </c>
      <c r="L31" s="67">
        <v>26040</v>
      </c>
      <c r="M31" s="67">
        <v>1825</v>
      </c>
      <c r="N31" s="66">
        <v>8379.2000000000007</v>
      </c>
      <c r="O31" s="65">
        <v>1181.81</v>
      </c>
    </row>
    <row r="32" spans="1:16" s="65" customFormat="1" ht="9" customHeight="1">
      <c r="A32" s="70" t="s">
        <v>1</v>
      </c>
      <c r="B32" s="67">
        <v>1102.3</v>
      </c>
      <c r="C32" s="67">
        <v>4228.8</v>
      </c>
      <c r="D32" s="67">
        <v>126003</v>
      </c>
      <c r="E32" s="67">
        <v>17574.2</v>
      </c>
      <c r="F32" s="69">
        <v>148908.30000000002</v>
      </c>
      <c r="G32" s="67">
        <v>600</v>
      </c>
      <c r="H32" s="67">
        <v>76697.8</v>
      </c>
      <c r="I32" s="67">
        <v>6931.8</v>
      </c>
      <c r="J32" s="68">
        <v>0</v>
      </c>
      <c r="K32" s="67">
        <v>84229.6</v>
      </c>
      <c r="L32" s="67">
        <v>40650.300000000003</v>
      </c>
      <c r="M32" s="67">
        <v>6032.9</v>
      </c>
      <c r="N32" s="66">
        <v>17995.5</v>
      </c>
      <c r="O32" s="65">
        <v>1181.81</v>
      </c>
    </row>
    <row r="33" spans="1:16" s="116" customFormat="1" ht="9" customHeight="1">
      <c r="A33" s="71" t="s">
        <v>92</v>
      </c>
      <c r="B33" s="151">
        <v>1640.7</v>
      </c>
      <c r="C33" s="151">
        <v>7685.3</v>
      </c>
      <c r="D33" s="151">
        <v>141299.40000000002</v>
      </c>
      <c r="E33" s="151">
        <v>10450.4</v>
      </c>
      <c r="F33" s="152">
        <v>161075.80000000002</v>
      </c>
      <c r="G33" s="151">
        <v>600</v>
      </c>
      <c r="H33" s="151">
        <v>89695.7</v>
      </c>
      <c r="I33" s="151">
        <v>10784.9</v>
      </c>
      <c r="J33" s="153">
        <v>0</v>
      </c>
      <c r="K33" s="151">
        <v>101080.59999999999</v>
      </c>
      <c r="L33" s="151">
        <v>45565</v>
      </c>
      <c r="M33" s="151">
        <v>1153.5</v>
      </c>
      <c r="N33" s="117">
        <v>13276.699999999999</v>
      </c>
      <c r="O33" s="116">
        <v>1181.81</v>
      </c>
    </row>
    <row r="34" spans="1:16" s="116" customFormat="1" ht="9" customHeight="1">
      <c r="A34" s="71" t="s">
        <v>93</v>
      </c>
      <c r="B34" s="151">
        <v>3270</v>
      </c>
      <c r="C34" s="151">
        <v>16084.86</v>
      </c>
      <c r="D34" s="151">
        <v>160657.073</v>
      </c>
      <c r="E34" s="151">
        <v>16388.41</v>
      </c>
      <c r="F34" s="152">
        <v>196400.34300000002</v>
      </c>
      <c r="G34" s="151">
        <v>1050</v>
      </c>
      <c r="H34" s="151">
        <v>103320.36</v>
      </c>
      <c r="I34" s="151">
        <v>18286.55</v>
      </c>
      <c r="J34" s="154">
        <v>0</v>
      </c>
      <c r="K34" s="151">
        <v>122656.91</v>
      </c>
      <c r="L34" s="151">
        <v>53118.630000000005</v>
      </c>
      <c r="M34" s="151">
        <v>2240.4</v>
      </c>
      <c r="N34" s="117">
        <v>18384.400000000001</v>
      </c>
    </row>
    <row r="35" spans="1:16" s="116" customFormat="1" ht="9" customHeight="1">
      <c r="A35" s="71" t="s">
        <v>94</v>
      </c>
      <c r="B35" s="151">
        <v>3270</v>
      </c>
      <c r="C35" s="151">
        <v>31141.81</v>
      </c>
      <c r="D35" s="151">
        <v>187446.04000000004</v>
      </c>
      <c r="E35" s="151">
        <v>25657.599999999999</v>
      </c>
      <c r="F35" s="152">
        <v>247515.45000000004</v>
      </c>
      <c r="G35" s="151">
        <v>0</v>
      </c>
      <c r="H35" s="151">
        <v>103906.98</v>
      </c>
      <c r="I35" s="151">
        <v>26379.65</v>
      </c>
      <c r="J35" s="154">
        <v>0</v>
      </c>
      <c r="K35" s="151">
        <v>130286.63</v>
      </c>
      <c r="L35" s="151">
        <v>64636.85</v>
      </c>
      <c r="M35" s="151">
        <v>4302.41</v>
      </c>
      <c r="N35" s="117">
        <v>48289.56</v>
      </c>
      <c r="O35" s="116">
        <v>130286.63</v>
      </c>
      <c r="P35" s="116">
        <v>64636.85</v>
      </c>
    </row>
    <row r="36" spans="1:16" s="116" customFormat="1" ht="9" customHeight="1">
      <c r="A36" s="71" t="s">
        <v>95</v>
      </c>
      <c r="B36" s="151">
        <v>5313.75</v>
      </c>
      <c r="C36" s="151">
        <v>22369.49</v>
      </c>
      <c r="D36" s="151">
        <v>204139.14999999997</v>
      </c>
      <c r="E36" s="151">
        <v>33738.589999999997</v>
      </c>
      <c r="F36" s="152">
        <v>265560.98</v>
      </c>
      <c r="G36" s="151">
        <v>500</v>
      </c>
      <c r="H36" s="151">
        <v>114727.72</v>
      </c>
      <c r="I36" s="151">
        <v>31975.91</v>
      </c>
      <c r="J36" s="154">
        <v>0</v>
      </c>
      <c r="K36" s="151">
        <v>147203.63</v>
      </c>
      <c r="L36" s="151">
        <v>73830.58</v>
      </c>
      <c r="M36" s="151">
        <v>3821.49</v>
      </c>
      <c r="N36" s="117">
        <v>40705.279999999999</v>
      </c>
      <c r="O36" s="116">
        <v>130286.63</v>
      </c>
      <c r="P36" s="116">
        <v>64636.85</v>
      </c>
    </row>
    <row r="37" spans="1:16" ht="11.25" customHeight="1">
      <c r="A37" s="64" t="s">
        <v>52</v>
      </c>
    </row>
    <row r="40" spans="1:16">
      <c r="F40" s="62"/>
    </row>
    <row r="41" spans="1:16">
      <c r="F41" s="62"/>
    </row>
  </sheetData>
  <mergeCells count="7">
    <mergeCell ref="A5:A8"/>
    <mergeCell ref="B5:E5"/>
    <mergeCell ref="F5:F7"/>
    <mergeCell ref="G5:K5"/>
    <mergeCell ref="M5:M7"/>
    <mergeCell ref="H6:H7"/>
    <mergeCell ref="K6:K7"/>
  </mergeCells>
  <pageMargins left="0.511811023622047" right="0.511811023622047" top="0.79" bottom="0" header="0.511811023622047" footer="0.196850393700787"/>
  <pageSetup paperSize="9" firstPageNumber="54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7"/>
  <sheetViews>
    <sheetView tabSelected="1" zoomScale="130" zoomScaleNormal="130" workbookViewId="0">
      <pane xSplit="1" ySplit="7" topLeftCell="B23" activePane="bottomRight" state="frozen"/>
      <selection activeCell="C19" sqref="C19"/>
      <selection pane="topRight" activeCell="C19" sqref="C19"/>
      <selection pane="bottomLeft" activeCell="C19" sqref="C19"/>
      <selection pane="bottomRight" activeCell="B34" sqref="B34:P34"/>
    </sheetView>
  </sheetViews>
  <sheetFormatPr defaultRowHeight="9"/>
  <cols>
    <col min="1" max="1" width="16.83203125" style="62" customWidth="1"/>
    <col min="2" max="2" width="11.1640625" style="62" customWidth="1"/>
    <col min="3" max="3" width="11.5" style="62" customWidth="1"/>
    <col min="4" max="4" width="12.33203125" style="62" customWidth="1"/>
    <col min="5" max="5" width="12.5" style="62" customWidth="1"/>
    <col min="6" max="6" width="11.83203125" style="62" customWidth="1"/>
    <col min="7" max="7" width="12" style="62" customWidth="1"/>
    <col min="8" max="8" width="11.6640625" style="62" customWidth="1"/>
    <col min="9" max="9" width="9.5" style="62" customWidth="1"/>
    <col min="10" max="10" width="11.33203125" style="62" customWidth="1"/>
    <col min="11" max="11" width="13.1640625" style="62" customWidth="1"/>
    <col min="12" max="14" width="9.6640625" style="62" customWidth="1"/>
    <col min="15" max="15" width="11.83203125" style="62" customWidth="1"/>
    <col min="16" max="16" width="11.1640625" style="62" customWidth="1"/>
    <col min="17" max="17" width="10.83203125" style="62" hidden="1" customWidth="1"/>
    <col min="18" max="18" width="13.83203125" style="63" hidden="1" customWidth="1"/>
    <col min="19" max="21" width="11.6640625" style="62" hidden="1" customWidth="1"/>
    <col min="22" max="22" width="9.6640625" style="62" hidden="1" customWidth="1"/>
    <col min="23" max="23" width="7.6640625" style="62" hidden="1" customWidth="1"/>
    <col min="24" max="24" width="10.5" style="62" hidden="1" customWidth="1"/>
    <col min="25" max="25" width="10.33203125" style="62" hidden="1" customWidth="1"/>
    <col min="26" max="27" width="9.33203125" style="62" hidden="1" customWidth="1"/>
    <col min="28" max="28" width="12" style="62" hidden="1" customWidth="1"/>
    <col min="29" max="29" width="9.33203125" style="62" hidden="1" customWidth="1"/>
    <col min="30" max="16384" width="9.33203125" style="110"/>
  </cols>
  <sheetData>
    <row r="1" spans="1:29" s="97" customFormat="1" ht="14.1" customHeight="1">
      <c r="A1" s="109" t="s">
        <v>91</v>
      </c>
      <c r="B1" s="108"/>
      <c r="C1" s="108"/>
      <c r="D1" s="108"/>
      <c r="E1" s="108"/>
      <c r="F1" s="108"/>
      <c r="G1" s="108"/>
      <c r="H1" s="108"/>
      <c r="I1" s="106"/>
      <c r="J1" s="106"/>
      <c r="K1" s="106"/>
      <c r="L1" s="106"/>
      <c r="M1" s="106"/>
      <c r="N1" s="106"/>
      <c r="O1" s="106"/>
      <c r="P1" s="105"/>
      <c r="Q1" s="149"/>
      <c r="R1" s="150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</row>
    <row r="2" spans="1:29" s="97" customFormat="1" ht="14.1" customHeight="1">
      <c r="A2" s="104"/>
      <c r="B2" s="103"/>
      <c r="C2" s="103"/>
      <c r="D2" s="103"/>
      <c r="E2" s="103"/>
      <c r="F2" s="103"/>
      <c r="G2" s="103"/>
      <c r="H2" s="103"/>
      <c r="I2" s="101"/>
      <c r="J2" s="101"/>
      <c r="K2" s="101"/>
      <c r="L2" s="101"/>
      <c r="M2" s="101"/>
      <c r="N2" s="101"/>
      <c r="O2" s="101"/>
      <c r="P2" s="100"/>
      <c r="Q2" s="149"/>
      <c r="R2" s="150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29" s="97" customFormat="1" ht="14.1" customHeight="1">
      <c r="A3" s="99" t="s">
        <v>51</v>
      </c>
      <c r="B3" s="98"/>
      <c r="C3" s="98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6"/>
      <c r="Q3" s="95"/>
      <c r="R3" s="148"/>
      <c r="S3" s="95"/>
      <c r="T3" s="95"/>
      <c r="U3" s="95"/>
      <c r="V3" s="95"/>
      <c r="W3" s="95"/>
      <c r="X3" s="94"/>
      <c r="Y3" s="95"/>
      <c r="Z3" s="95"/>
      <c r="AA3" s="95"/>
      <c r="AB3" s="95"/>
      <c r="AC3" s="95"/>
    </row>
    <row r="4" spans="1:29">
      <c r="A4" s="177" t="s">
        <v>50</v>
      </c>
      <c r="B4" s="180" t="s">
        <v>49</v>
      </c>
      <c r="C4" s="181"/>
      <c r="D4" s="181"/>
      <c r="E4" s="181"/>
      <c r="F4" s="181"/>
      <c r="G4" s="181"/>
      <c r="H4" s="91"/>
      <c r="I4" s="180" t="s">
        <v>47</v>
      </c>
      <c r="J4" s="181"/>
      <c r="K4" s="181"/>
      <c r="L4" s="181"/>
      <c r="M4" s="181"/>
      <c r="N4" s="181"/>
      <c r="O4" s="181"/>
      <c r="P4" s="182"/>
      <c r="Q4" s="190" t="s">
        <v>44</v>
      </c>
      <c r="R4" s="183" t="s">
        <v>43</v>
      </c>
      <c r="S4" s="180" t="s">
        <v>42</v>
      </c>
      <c r="T4" s="181"/>
      <c r="U4" s="181"/>
      <c r="V4" s="181"/>
      <c r="W4" s="181"/>
      <c r="X4" s="182"/>
      <c r="Y4" s="180" t="s">
        <v>41</v>
      </c>
      <c r="Z4" s="181"/>
      <c r="AA4" s="182"/>
      <c r="AB4" s="186" t="s">
        <v>39</v>
      </c>
      <c r="AC4" s="147"/>
    </row>
    <row r="5" spans="1:29">
      <c r="A5" s="178"/>
      <c r="B5" s="186" t="s">
        <v>37</v>
      </c>
      <c r="C5" s="189"/>
      <c r="D5" s="186" t="s">
        <v>88</v>
      </c>
      <c r="E5" s="189"/>
      <c r="F5" s="186" t="s">
        <v>32</v>
      </c>
      <c r="G5" s="194"/>
      <c r="H5" s="146" t="s">
        <v>87</v>
      </c>
      <c r="I5" s="186" t="s">
        <v>86</v>
      </c>
      <c r="J5" s="189"/>
      <c r="K5" s="186" t="s">
        <v>41</v>
      </c>
      <c r="L5" s="189"/>
      <c r="M5" s="186" t="s">
        <v>85</v>
      </c>
      <c r="N5" s="189"/>
      <c r="O5" s="186" t="s">
        <v>32</v>
      </c>
      <c r="P5" s="189"/>
      <c r="Q5" s="191"/>
      <c r="R5" s="184"/>
      <c r="S5" s="91" t="s">
        <v>84</v>
      </c>
      <c r="T5" s="189" t="s">
        <v>83</v>
      </c>
      <c r="U5" s="189" t="s">
        <v>82</v>
      </c>
      <c r="V5" s="189" t="s">
        <v>28</v>
      </c>
      <c r="W5" s="189" t="s">
        <v>81</v>
      </c>
      <c r="X5" s="189" t="s">
        <v>23</v>
      </c>
      <c r="Y5" s="90" t="s">
        <v>72</v>
      </c>
      <c r="Z5" s="189" t="s">
        <v>81</v>
      </c>
      <c r="AA5" s="189" t="s">
        <v>23</v>
      </c>
      <c r="AB5" s="187"/>
      <c r="AC5" s="145" t="s">
        <v>69</v>
      </c>
    </row>
    <row r="6" spans="1:29">
      <c r="A6" s="178"/>
      <c r="B6" s="193"/>
      <c r="C6" s="188"/>
      <c r="D6" s="193"/>
      <c r="E6" s="188"/>
      <c r="F6" s="193"/>
      <c r="G6" s="195"/>
      <c r="H6" s="88" t="s">
        <v>79</v>
      </c>
      <c r="I6" s="193"/>
      <c r="J6" s="188"/>
      <c r="K6" s="193"/>
      <c r="L6" s="188"/>
      <c r="M6" s="193"/>
      <c r="N6" s="188"/>
      <c r="O6" s="193"/>
      <c r="P6" s="188"/>
      <c r="Q6" s="192"/>
      <c r="R6" s="185"/>
      <c r="S6" s="88" t="s">
        <v>80</v>
      </c>
      <c r="T6" s="188"/>
      <c r="U6" s="188"/>
      <c r="V6" s="188"/>
      <c r="W6" s="188"/>
      <c r="X6" s="188"/>
      <c r="Y6" s="87" t="s">
        <v>64</v>
      </c>
      <c r="Z6" s="188"/>
      <c r="AA6" s="188"/>
      <c r="AB6" s="188"/>
      <c r="AC6" s="144" t="s">
        <v>79</v>
      </c>
    </row>
    <row r="7" spans="1:29">
      <c r="A7" s="179"/>
      <c r="B7" s="85" t="s">
        <v>78</v>
      </c>
      <c r="C7" s="84" t="s">
        <v>77</v>
      </c>
      <c r="D7" s="85" t="s">
        <v>78</v>
      </c>
      <c r="E7" s="84" t="s">
        <v>77</v>
      </c>
      <c r="F7" s="85" t="s">
        <v>78</v>
      </c>
      <c r="G7" s="84" t="s">
        <v>77</v>
      </c>
      <c r="H7" s="84"/>
      <c r="I7" s="85" t="s">
        <v>78</v>
      </c>
      <c r="J7" s="84" t="s">
        <v>77</v>
      </c>
      <c r="K7" s="85" t="s">
        <v>78</v>
      </c>
      <c r="L7" s="84" t="s">
        <v>77</v>
      </c>
      <c r="M7" s="85" t="s">
        <v>78</v>
      </c>
      <c r="N7" s="84" t="s">
        <v>77</v>
      </c>
      <c r="O7" s="85" t="s">
        <v>78</v>
      </c>
      <c r="P7" s="84" t="s">
        <v>77</v>
      </c>
      <c r="Q7" s="143">
        <v>10</v>
      </c>
      <c r="R7" s="86">
        <v>11</v>
      </c>
      <c r="S7" s="85">
        <v>12</v>
      </c>
      <c r="T7" s="84">
        <v>13</v>
      </c>
      <c r="U7" s="84">
        <v>14</v>
      </c>
      <c r="V7" s="84">
        <v>15</v>
      </c>
      <c r="W7" s="84">
        <v>16</v>
      </c>
      <c r="X7" s="84">
        <v>17</v>
      </c>
      <c r="Y7" s="84">
        <v>18</v>
      </c>
      <c r="Z7" s="84">
        <v>20</v>
      </c>
      <c r="AA7" s="84">
        <v>21</v>
      </c>
      <c r="AB7" s="85">
        <v>22</v>
      </c>
      <c r="AC7" s="142">
        <v>23</v>
      </c>
    </row>
    <row r="8" spans="1:29" s="118" customFormat="1" ht="8.85" customHeight="1">
      <c r="A8" s="71" t="s">
        <v>58</v>
      </c>
      <c r="B8" s="139">
        <v>2</v>
      </c>
      <c r="C8" s="139">
        <v>420</v>
      </c>
      <c r="D8" s="141">
        <v>2490</v>
      </c>
      <c r="E8" s="139">
        <v>801</v>
      </c>
      <c r="F8" s="139">
        <v>47</v>
      </c>
      <c r="G8" s="139">
        <v>580</v>
      </c>
      <c r="H8" s="139">
        <v>4340</v>
      </c>
      <c r="I8" s="139">
        <v>16</v>
      </c>
      <c r="J8" s="139">
        <v>110</v>
      </c>
      <c r="K8" s="139">
        <v>2414</v>
      </c>
      <c r="L8" s="139">
        <v>1360</v>
      </c>
      <c r="M8" s="139">
        <v>13</v>
      </c>
      <c r="N8" s="139">
        <v>181</v>
      </c>
      <c r="O8" s="139">
        <v>96</v>
      </c>
      <c r="P8" s="139">
        <v>150</v>
      </c>
      <c r="Q8" s="136">
        <v>226.6</v>
      </c>
      <c r="R8" s="140" t="e">
        <v>#REF!</v>
      </c>
      <c r="S8" s="137">
        <v>532.4</v>
      </c>
      <c r="T8" s="136">
        <v>504.8</v>
      </c>
      <c r="U8" s="136">
        <v>729.5</v>
      </c>
      <c r="V8" s="136">
        <v>54.5</v>
      </c>
      <c r="W8" s="136">
        <v>31.8</v>
      </c>
      <c r="X8" s="136">
        <v>1853</v>
      </c>
      <c r="Y8" s="136">
        <v>97.6</v>
      </c>
      <c r="Z8" s="136">
        <v>186.9</v>
      </c>
      <c r="AA8" s="136">
        <v>284.5</v>
      </c>
      <c r="AB8" s="136">
        <v>124.4</v>
      </c>
      <c r="AC8" s="135">
        <v>238</v>
      </c>
    </row>
    <row r="9" spans="1:29" s="118" customFormat="1" ht="8.85" customHeight="1">
      <c r="A9" s="71" t="s">
        <v>57</v>
      </c>
      <c r="B9" s="139">
        <v>2</v>
      </c>
      <c r="C9" s="139">
        <v>621</v>
      </c>
      <c r="D9" s="139">
        <v>2904</v>
      </c>
      <c r="E9" s="139">
        <v>1020</v>
      </c>
      <c r="F9" s="139">
        <v>81</v>
      </c>
      <c r="G9" s="139">
        <v>319</v>
      </c>
      <c r="H9" s="139">
        <v>4947</v>
      </c>
      <c r="I9" s="139">
        <v>20</v>
      </c>
      <c r="J9" s="139">
        <v>129</v>
      </c>
      <c r="K9" s="139">
        <v>2830</v>
      </c>
      <c r="L9" s="139">
        <v>1460</v>
      </c>
      <c r="M9" s="139">
        <v>15</v>
      </c>
      <c r="N9" s="139">
        <v>189</v>
      </c>
      <c r="O9" s="139">
        <v>122</v>
      </c>
      <c r="P9" s="139">
        <v>182</v>
      </c>
      <c r="Q9" s="136">
        <v>498.8</v>
      </c>
      <c r="R9" s="140" t="e">
        <v>#REF!</v>
      </c>
      <c r="S9" s="137">
        <v>680.3</v>
      </c>
      <c r="T9" s="136">
        <v>1001.7</v>
      </c>
      <c r="U9" s="136">
        <v>1673.6</v>
      </c>
      <c r="V9" s="136">
        <v>185</v>
      </c>
      <c r="W9" s="136">
        <v>126.5</v>
      </c>
      <c r="X9" s="136">
        <v>3667.1</v>
      </c>
      <c r="Y9" s="136">
        <v>413.2</v>
      </c>
      <c r="Z9" s="136">
        <v>341.5</v>
      </c>
      <c r="AA9" s="136">
        <v>754.7</v>
      </c>
      <c r="AB9" s="136">
        <v>342.3</v>
      </c>
      <c r="AC9" s="135">
        <v>353.4</v>
      </c>
    </row>
    <row r="10" spans="1:29" s="118" customFormat="1" ht="8.85" customHeight="1">
      <c r="A10" s="71" t="s">
        <v>56</v>
      </c>
      <c r="B10" s="139">
        <v>2</v>
      </c>
      <c r="C10" s="139">
        <v>621</v>
      </c>
      <c r="D10" s="139">
        <v>3350</v>
      </c>
      <c r="E10" s="139">
        <v>1217</v>
      </c>
      <c r="F10" s="139">
        <v>43</v>
      </c>
      <c r="G10" s="139">
        <v>900</v>
      </c>
      <c r="H10" s="139">
        <v>6133</v>
      </c>
      <c r="I10" s="139">
        <v>25</v>
      </c>
      <c r="J10" s="139">
        <v>152</v>
      </c>
      <c r="K10" s="139">
        <v>3213</v>
      </c>
      <c r="L10" s="139">
        <v>2257</v>
      </c>
      <c r="M10" s="139">
        <v>17</v>
      </c>
      <c r="N10" s="139">
        <v>193</v>
      </c>
      <c r="O10" s="139">
        <v>140</v>
      </c>
      <c r="P10" s="139">
        <v>136</v>
      </c>
      <c r="Q10" s="136">
        <v>915.9</v>
      </c>
      <c r="R10" s="140" t="e">
        <v>#REF!</v>
      </c>
      <c r="S10" s="137">
        <v>964.3</v>
      </c>
      <c r="T10" s="136">
        <v>1586</v>
      </c>
      <c r="U10" s="136">
        <v>2207.1</v>
      </c>
      <c r="V10" s="136">
        <v>310.3</v>
      </c>
      <c r="W10" s="136">
        <v>410</v>
      </c>
      <c r="X10" s="136">
        <v>5477.7</v>
      </c>
      <c r="Y10" s="136">
        <v>1440.9</v>
      </c>
      <c r="Z10" s="136">
        <v>317.60000000000002</v>
      </c>
      <c r="AA10" s="136">
        <v>1758.5</v>
      </c>
      <c r="AB10" s="136">
        <v>452.5</v>
      </c>
      <c r="AC10" s="135">
        <v>537.20000000000005</v>
      </c>
    </row>
    <row r="11" spans="1:29" s="118" customFormat="1" ht="8.85" customHeight="1">
      <c r="A11" s="71" t="s">
        <v>55</v>
      </c>
      <c r="B11" s="139">
        <v>9</v>
      </c>
      <c r="C11" s="139">
        <v>459</v>
      </c>
      <c r="D11" s="139">
        <v>3425</v>
      </c>
      <c r="E11" s="139">
        <v>1048</v>
      </c>
      <c r="F11" s="139">
        <v>92</v>
      </c>
      <c r="G11" s="139">
        <v>1224</v>
      </c>
      <c r="H11" s="139">
        <v>6257</v>
      </c>
      <c r="I11" s="139">
        <v>10</v>
      </c>
      <c r="J11" s="139">
        <v>111</v>
      </c>
      <c r="K11" s="139">
        <v>3332</v>
      </c>
      <c r="L11" s="139">
        <v>1920</v>
      </c>
      <c r="M11" s="139">
        <v>25</v>
      </c>
      <c r="N11" s="139">
        <v>121</v>
      </c>
      <c r="O11" s="139">
        <v>159</v>
      </c>
      <c r="P11" s="139">
        <v>579</v>
      </c>
      <c r="Q11" s="136">
        <v>1552.8</v>
      </c>
      <c r="R11" s="140" t="e">
        <v>#REF!</v>
      </c>
      <c r="S11" s="137">
        <v>1304.2</v>
      </c>
      <c r="T11" s="136">
        <v>2004.2</v>
      </c>
      <c r="U11" s="136">
        <v>3104.6</v>
      </c>
      <c r="V11" s="136">
        <v>260.10000000000002</v>
      </c>
      <c r="W11" s="136">
        <v>545.70000000000005</v>
      </c>
      <c r="X11" s="136">
        <v>7218.8</v>
      </c>
      <c r="Y11" s="136">
        <v>932.1</v>
      </c>
      <c r="Z11" s="136">
        <v>330</v>
      </c>
      <c r="AA11" s="136">
        <v>1262.0999999999999</v>
      </c>
      <c r="AB11" s="136">
        <v>1133.5999999999999</v>
      </c>
      <c r="AC11" s="135">
        <v>1018.5</v>
      </c>
    </row>
    <row r="12" spans="1:29" s="118" customFormat="1" ht="8.85" customHeight="1">
      <c r="A12" s="71" t="s">
        <v>20</v>
      </c>
      <c r="B12" s="139">
        <v>209.3</v>
      </c>
      <c r="C12" s="139">
        <v>558.9</v>
      </c>
      <c r="D12" s="139">
        <v>4891.6000000000004</v>
      </c>
      <c r="E12" s="139">
        <v>902.1</v>
      </c>
      <c r="F12" s="139">
        <v>1005.8</v>
      </c>
      <c r="G12" s="139">
        <v>1519.6</v>
      </c>
      <c r="H12" s="139">
        <v>9087.2999999999993</v>
      </c>
      <c r="I12" s="139">
        <v>29.8</v>
      </c>
      <c r="J12" s="139">
        <v>254.3</v>
      </c>
      <c r="K12" s="139">
        <v>5595</v>
      </c>
      <c r="L12" s="139">
        <v>2421.8000000000002</v>
      </c>
      <c r="M12" s="139">
        <v>31.6</v>
      </c>
      <c r="N12" s="139">
        <v>163.4</v>
      </c>
      <c r="O12" s="139">
        <v>450.3</v>
      </c>
      <c r="P12" s="139">
        <v>141.1</v>
      </c>
      <c r="Q12" s="135">
        <v>1678.4</v>
      </c>
      <c r="R12" s="138" t="e">
        <v>#REF!</v>
      </c>
      <c r="S12" s="134">
        <v>1640</v>
      </c>
      <c r="T12" s="134">
        <v>2340.4</v>
      </c>
      <c r="U12" s="134">
        <v>4239.3999999999996</v>
      </c>
      <c r="V12" s="134">
        <v>235.3</v>
      </c>
      <c r="W12" s="134">
        <v>607.70000000000005</v>
      </c>
      <c r="X12" s="134">
        <v>9062.7999999999993</v>
      </c>
      <c r="Y12" s="137">
        <v>842.8</v>
      </c>
      <c r="Z12" s="136">
        <v>286.39999999999998</v>
      </c>
      <c r="AA12" s="136">
        <v>1129.2</v>
      </c>
      <c r="AB12" s="134">
        <v>1728.6</v>
      </c>
      <c r="AC12" s="134">
        <v>1129.0999999999999</v>
      </c>
    </row>
    <row r="13" spans="1:29" s="118" customFormat="1" ht="8.85" customHeight="1">
      <c r="A13" s="71" t="s">
        <v>19</v>
      </c>
      <c r="B13" s="139">
        <v>409.3</v>
      </c>
      <c r="C13" s="139">
        <v>638.9</v>
      </c>
      <c r="D13" s="139">
        <v>5696</v>
      </c>
      <c r="E13" s="139">
        <v>1256.3</v>
      </c>
      <c r="F13" s="139">
        <v>2692</v>
      </c>
      <c r="G13" s="139">
        <v>1681.5</v>
      </c>
      <c r="H13" s="139">
        <v>12374</v>
      </c>
      <c r="I13" s="139">
        <v>32.1</v>
      </c>
      <c r="J13" s="139">
        <v>380</v>
      </c>
      <c r="K13" s="139">
        <v>8500</v>
      </c>
      <c r="L13" s="139">
        <v>2600</v>
      </c>
      <c r="M13" s="139">
        <v>82.5</v>
      </c>
      <c r="N13" s="139">
        <v>222</v>
      </c>
      <c r="O13" s="139">
        <v>182.7</v>
      </c>
      <c r="P13" s="139">
        <v>374.7</v>
      </c>
      <c r="Q13" s="136">
        <v>2060.1999999999998</v>
      </c>
      <c r="R13" s="138" t="e">
        <v>#REF!</v>
      </c>
      <c r="S13" s="137">
        <v>2151.6</v>
      </c>
      <c r="T13" s="136">
        <v>2965.4</v>
      </c>
      <c r="U13" s="136">
        <v>4704.3</v>
      </c>
      <c r="V13" s="136">
        <v>277.8</v>
      </c>
      <c r="W13" s="136">
        <v>766.2</v>
      </c>
      <c r="X13" s="137">
        <v>10865.3</v>
      </c>
      <c r="Y13" s="136">
        <v>837.2</v>
      </c>
      <c r="Z13" s="136">
        <v>430.8</v>
      </c>
      <c r="AA13" s="136">
        <v>1268</v>
      </c>
      <c r="AB13" s="135">
        <v>2048.5</v>
      </c>
      <c r="AC13" s="134">
        <v>1615.4</v>
      </c>
    </row>
    <row r="14" spans="1:29" s="118" customFormat="1" ht="8.85" customHeight="1">
      <c r="A14" s="71" t="s">
        <v>18</v>
      </c>
      <c r="B14" s="139">
        <v>509</v>
      </c>
      <c r="C14" s="139">
        <v>675</v>
      </c>
      <c r="D14" s="139">
        <v>7597</v>
      </c>
      <c r="E14" s="139">
        <v>1566</v>
      </c>
      <c r="F14" s="139">
        <v>1306.2</v>
      </c>
      <c r="G14" s="139">
        <v>1881.9</v>
      </c>
      <c r="H14" s="139">
        <v>13535.1</v>
      </c>
      <c r="I14" s="139">
        <v>263</v>
      </c>
      <c r="J14" s="139">
        <v>280</v>
      </c>
      <c r="K14" s="139">
        <v>8653.2000000000007</v>
      </c>
      <c r="L14" s="139">
        <v>2864.8</v>
      </c>
      <c r="M14" s="139">
        <v>42</v>
      </c>
      <c r="N14" s="139">
        <v>175</v>
      </c>
      <c r="O14" s="139">
        <v>454</v>
      </c>
      <c r="P14" s="139">
        <v>803.1</v>
      </c>
      <c r="Q14" s="136">
        <v>2479.1</v>
      </c>
      <c r="R14" s="138" t="e">
        <v>#REF!</v>
      </c>
      <c r="S14" s="137">
        <v>2435.9</v>
      </c>
      <c r="T14" s="136">
        <v>3144.4</v>
      </c>
      <c r="U14" s="136">
        <v>5292.6</v>
      </c>
      <c r="V14" s="136">
        <v>363.6</v>
      </c>
      <c r="W14" s="136">
        <v>713.1</v>
      </c>
      <c r="X14" s="137">
        <v>11949.6</v>
      </c>
      <c r="Y14" s="136">
        <v>1120</v>
      </c>
      <c r="Z14" s="136">
        <v>503.4</v>
      </c>
      <c r="AA14" s="136">
        <v>1623.4</v>
      </c>
      <c r="AB14" s="135">
        <v>2862.4</v>
      </c>
      <c r="AC14" s="134">
        <v>2017.3</v>
      </c>
    </row>
    <row r="15" spans="1:29" s="118" customFormat="1" ht="8.85" customHeight="1">
      <c r="A15" s="71" t="s">
        <v>16</v>
      </c>
      <c r="B15" s="139">
        <v>509.3</v>
      </c>
      <c r="C15" s="139">
        <v>790.7</v>
      </c>
      <c r="D15" s="139">
        <v>9239</v>
      </c>
      <c r="E15" s="139">
        <v>2361</v>
      </c>
      <c r="F15" s="139">
        <v>2123.8000000000002</v>
      </c>
      <c r="G15" s="139">
        <v>1250</v>
      </c>
      <c r="H15" s="139">
        <v>16273.8</v>
      </c>
      <c r="I15" s="139">
        <v>201.48</v>
      </c>
      <c r="J15" s="139">
        <v>410.76</v>
      </c>
      <c r="K15" s="139">
        <v>10839.9</v>
      </c>
      <c r="L15" s="139">
        <v>2897.6</v>
      </c>
      <c r="M15" s="139">
        <v>109.56</v>
      </c>
      <c r="N15" s="139">
        <v>399.8</v>
      </c>
      <c r="O15" s="139">
        <v>721.1</v>
      </c>
      <c r="P15" s="139">
        <v>693.6</v>
      </c>
      <c r="Q15" s="136" t="s">
        <v>17</v>
      </c>
      <c r="R15" s="138" t="e">
        <v>#REF!</v>
      </c>
      <c r="S15" s="137">
        <v>2477.4</v>
      </c>
      <c r="T15" s="136">
        <v>4211.1000000000004</v>
      </c>
      <c r="U15" s="136">
        <v>6806.5</v>
      </c>
      <c r="V15" s="136">
        <v>148.80000000000001</v>
      </c>
      <c r="W15" s="136">
        <v>829.9</v>
      </c>
      <c r="X15" s="137">
        <v>14473.7</v>
      </c>
      <c r="Y15" s="136">
        <v>913</v>
      </c>
      <c r="Z15" s="136">
        <v>1479.4</v>
      </c>
      <c r="AA15" s="136">
        <v>2392.4</v>
      </c>
      <c r="AB15" s="135">
        <v>2674</v>
      </c>
      <c r="AC15" s="134">
        <v>2576.3000000000002</v>
      </c>
    </row>
    <row r="16" spans="1:29" s="130" customFormat="1" ht="8.85" customHeight="1">
      <c r="A16" s="133" t="s">
        <v>15</v>
      </c>
      <c r="B16" s="125">
        <v>629.29999999999995</v>
      </c>
      <c r="C16" s="125">
        <v>924.8</v>
      </c>
      <c r="D16" s="125">
        <v>12275.3</v>
      </c>
      <c r="E16" s="125">
        <v>1546.1</v>
      </c>
      <c r="F16" s="125">
        <v>904.5</v>
      </c>
      <c r="G16" s="125">
        <v>2726.3</v>
      </c>
      <c r="H16" s="125">
        <v>19006.3</v>
      </c>
      <c r="I16" s="125">
        <v>1011.1</v>
      </c>
      <c r="J16" s="125">
        <v>465.7</v>
      </c>
      <c r="K16" s="125">
        <v>11751.9</v>
      </c>
      <c r="L16" s="125">
        <v>3032.3</v>
      </c>
      <c r="M16" s="125">
        <v>134.5</v>
      </c>
      <c r="N16" s="125">
        <v>296.3</v>
      </c>
      <c r="O16" s="125">
        <v>911.6</v>
      </c>
      <c r="P16" s="125">
        <v>1402.9</v>
      </c>
      <c r="Q16" s="132">
        <v>3893.5</v>
      </c>
      <c r="R16" s="122" t="e">
        <v>#REF!</v>
      </c>
      <c r="S16" s="128">
        <v>3003.2</v>
      </c>
      <c r="T16" s="122">
        <v>5331.6</v>
      </c>
      <c r="U16" s="128">
        <v>8360.2000000000007</v>
      </c>
      <c r="V16" s="122">
        <v>287.89999999999998</v>
      </c>
      <c r="W16" s="128">
        <v>850.7</v>
      </c>
      <c r="X16" s="122">
        <v>17833.599999999999</v>
      </c>
      <c r="Y16" s="128">
        <v>1306.8</v>
      </c>
      <c r="Z16" s="122">
        <v>558.5</v>
      </c>
      <c r="AA16" s="128">
        <v>1865.3</v>
      </c>
      <c r="AB16" s="122">
        <v>5048.8</v>
      </c>
      <c r="AC16" s="131">
        <v>2513.1</v>
      </c>
    </row>
    <row r="17" spans="1:29" s="118" customFormat="1" ht="8.85" customHeight="1">
      <c r="A17" s="70" t="s">
        <v>14</v>
      </c>
      <c r="B17" s="125">
        <v>659.3</v>
      </c>
      <c r="C17" s="125">
        <v>1186.7</v>
      </c>
      <c r="D17" s="125">
        <v>14878.1</v>
      </c>
      <c r="E17" s="125">
        <v>1631</v>
      </c>
      <c r="F17" s="125">
        <v>1254.2</v>
      </c>
      <c r="G17" s="125">
        <v>2902.2</v>
      </c>
      <c r="H17" s="125">
        <v>22511.5</v>
      </c>
      <c r="I17" s="126">
        <v>1174.3</v>
      </c>
      <c r="J17" s="126">
        <v>643.6</v>
      </c>
      <c r="K17" s="126">
        <v>14090.2</v>
      </c>
      <c r="L17" s="126">
        <v>3212.6</v>
      </c>
      <c r="M17" s="126">
        <v>231.2</v>
      </c>
      <c r="N17" s="126">
        <v>280.8</v>
      </c>
      <c r="O17" s="126">
        <v>1295.9000000000001</v>
      </c>
      <c r="P17" s="125">
        <v>1582.9</v>
      </c>
      <c r="Q17" s="129">
        <v>2939.5</v>
      </c>
      <c r="R17" s="122" t="e">
        <v>#REF!</v>
      </c>
      <c r="S17" s="70">
        <v>3591</v>
      </c>
      <c r="T17" s="121">
        <v>6807.5</v>
      </c>
      <c r="U17" s="70">
        <v>9448.9</v>
      </c>
      <c r="V17" s="121">
        <v>247.2</v>
      </c>
      <c r="W17" s="70">
        <v>1128.7</v>
      </c>
      <c r="X17" s="122">
        <v>21223.3</v>
      </c>
      <c r="Y17" s="70">
        <v>567.5</v>
      </c>
      <c r="Z17" s="121">
        <v>1843.7</v>
      </c>
      <c r="AA17" s="128">
        <v>2411.1999999999998</v>
      </c>
      <c r="AB17" s="121">
        <v>3904.9</v>
      </c>
      <c r="AC17" s="127">
        <v>2979</v>
      </c>
    </row>
    <row r="18" spans="1:29" s="118" customFormat="1" ht="8.85" customHeight="1">
      <c r="A18" s="70" t="s">
        <v>13</v>
      </c>
      <c r="B18" s="125">
        <v>659.3</v>
      </c>
      <c r="C18" s="125">
        <v>1326.1</v>
      </c>
      <c r="D18" s="125">
        <v>17914.3</v>
      </c>
      <c r="E18" s="125">
        <v>1833.5</v>
      </c>
      <c r="F18" s="125">
        <v>1596</v>
      </c>
      <c r="G18" s="125">
        <v>3081.5</v>
      </c>
      <c r="H18" s="125">
        <v>26446.7</v>
      </c>
      <c r="I18" s="126">
        <v>1188</v>
      </c>
      <c r="J18" s="126">
        <v>782.8</v>
      </c>
      <c r="K18" s="126">
        <v>17558</v>
      </c>
      <c r="L18" s="126">
        <v>3242.4</v>
      </c>
      <c r="M18" s="126">
        <v>255.4</v>
      </c>
      <c r="N18" s="126">
        <v>353.9</v>
      </c>
      <c r="O18" s="126">
        <v>1204.2</v>
      </c>
      <c r="P18" s="125">
        <v>1862</v>
      </c>
      <c r="Q18" s="121"/>
      <c r="R18" s="122"/>
      <c r="S18" s="121"/>
      <c r="T18" s="121"/>
      <c r="U18" s="121"/>
      <c r="V18" s="121"/>
      <c r="W18" s="121"/>
      <c r="X18" s="122"/>
      <c r="Y18" s="121"/>
      <c r="Z18" s="121"/>
      <c r="AA18" s="122"/>
      <c r="AB18" s="121"/>
      <c r="AC18" s="121"/>
    </row>
    <row r="19" spans="1:29" s="118" customFormat="1" ht="8.85" customHeight="1">
      <c r="A19" s="70" t="s">
        <v>12</v>
      </c>
      <c r="B19" s="123">
        <v>1647.3</v>
      </c>
      <c r="C19" s="123">
        <v>1270.4000000000001</v>
      </c>
      <c r="D19" s="123">
        <v>21839.200000000001</v>
      </c>
      <c r="E19" s="123">
        <v>2202</v>
      </c>
      <c r="F19" s="123">
        <v>1405.3</v>
      </c>
      <c r="G19" s="123">
        <v>3225.2</v>
      </c>
      <c r="H19" s="123">
        <v>31589.4</v>
      </c>
      <c r="I19" s="124">
        <v>946.3</v>
      </c>
      <c r="J19" s="124">
        <v>511.1</v>
      </c>
      <c r="K19" s="124">
        <v>21632.2</v>
      </c>
      <c r="L19" s="124">
        <v>4231.8999999999996</v>
      </c>
      <c r="M19" s="124">
        <v>339.9</v>
      </c>
      <c r="N19" s="124">
        <v>479.3</v>
      </c>
      <c r="O19" s="124">
        <v>1973.4</v>
      </c>
      <c r="P19" s="123">
        <v>1475.3</v>
      </c>
      <c r="Q19" s="121"/>
      <c r="R19" s="122"/>
      <c r="S19" s="121"/>
      <c r="T19" s="121"/>
      <c r="U19" s="121"/>
      <c r="V19" s="121"/>
      <c r="W19" s="121"/>
      <c r="X19" s="122"/>
      <c r="Y19" s="121"/>
      <c r="Z19" s="121"/>
      <c r="AA19" s="122"/>
      <c r="AB19" s="121"/>
      <c r="AC19" s="121"/>
    </row>
    <row r="20" spans="1:29" s="118" customFormat="1" ht="8.85" customHeight="1">
      <c r="A20" s="71" t="s">
        <v>11</v>
      </c>
      <c r="B20" s="66">
        <v>1647.3</v>
      </c>
      <c r="C20" s="66">
        <v>1270.4000000000001</v>
      </c>
      <c r="D20" s="66">
        <v>26425.4</v>
      </c>
      <c r="E20" s="66">
        <v>2383.6999999999998</v>
      </c>
      <c r="F20" s="119">
        <v>1565</v>
      </c>
      <c r="G20" s="66">
        <v>3722.5</v>
      </c>
      <c r="H20" s="66">
        <v>37014.300000000003</v>
      </c>
      <c r="I20" s="66">
        <v>1079.9000000000001</v>
      </c>
      <c r="J20" s="66">
        <v>657.5</v>
      </c>
      <c r="K20" s="66">
        <v>26062.9</v>
      </c>
      <c r="L20" s="66">
        <v>4966.8999999999996</v>
      </c>
      <c r="M20" s="66">
        <v>566.20000000000005</v>
      </c>
      <c r="N20" s="120">
        <v>522.29999999999995</v>
      </c>
      <c r="O20" s="71">
        <v>1928.7</v>
      </c>
      <c r="P20" s="71">
        <v>1229.9000000000001</v>
      </c>
      <c r="Q20" s="72"/>
      <c r="R20" s="72"/>
      <c r="S20" s="72"/>
      <c r="T20" s="72"/>
      <c r="U20" s="72"/>
      <c r="V20" s="65"/>
      <c r="W20" s="65"/>
      <c r="X20" s="65"/>
      <c r="Y20" s="65"/>
      <c r="Z20" s="65"/>
      <c r="AA20" s="65"/>
      <c r="AB20" s="65"/>
      <c r="AC20" s="65"/>
    </row>
    <row r="21" spans="1:29" s="118" customFormat="1" ht="8.85" customHeight="1">
      <c r="A21" s="71" t="s">
        <v>10</v>
      </c>
      <c r="B21" s="66">
        <v>1890</v>
      </c>
      <c r="C21" s="66">
        <v>1560</v>
      </c>
      <c r="D21" s="66">
        <v>33250</v>
      </c>
      <c r="E21" s="66">
        <v>4060</v>
      </c>
      <c r="F21" s="119">
        <v>2980</v>
      </c>
      <c r="G21" s="66">
        <v>3720</v>
      </c>
      <c r="H21" s="66">
        <v>47460</v>
      </c>
      <c r="I21" s="66">
        <v>920</v>
      </c>
      <c r="J21" s="66">
        <v>700</v>
      </c>
      <c r="K21" s="66">
        <v>33500</v>
      </c>
      <c r="L21" s="66">
        <v>6700</v>
      </c>
      <c r="M21" s="66">
        <v>1540</v>
      </c>
      <c r="N21" s="71">
        <v>870</v>
      </c>
      <c r="O21" s="71">
        <v>2160</v>
      </c>
      <c r="P21" s="71">
        <v>1070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</row>
    <row r="22" spans="1:29" s="118" customFormat="1" ht="8.85" customHeight="1">
      <c r="A22" s="71" t="s">
        <v>9</v>
      </c>
      <c r="B22" s="66">
        <v>2451.4</v>
      </c>
      <c r="C22" s="66">
        <v>1642</v>
      </c>
      <c r="D22" s="66">
        <v>44040</v>
      </c>
      <c r="E22" s="66">
        <v>6830</v>
      </c>
      <c r="F22" s="119">
        <v>2750</v>
      </c>
      <c r="G22" s="66">
        <v>3500</v>
      </c>
      <c r="H22" s="66">
        <v>61213.4</v>
      </c>
      <c r="I22" s="66">
        <v>750</v>
      </c>
      <c r="J22" s="66">
        <v>900</v>
      </c>
      <c r="K22" s="66">
        <v>44491.4</v>
      </c>
      <c r="L22" s="66">
        <v>8202</v>
      </c>
      <c r="M22" s="66">
        <v>2100</v>
      </c>
      <c r="N22" s="71">
        <v>1070</v>
      </c>
      <c r="O22" s="71">
        <v>1900</v>
      </c>
      <c r="P22" s="71">
        <v>1800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</row>
    <row r="23" spans="1:29" s="118" customFormat="1" ht="8.85" customHeight="1">
      <c r="A23" s="71" t="s">
        <v>53</v>
      </c>
      <c r="B23" s="66">
        <v>2538.1</v>
      </c>
      <c r="C23" s="66">
        <v>1804.7</v>
      </c>
      <c r="D23" s="66">
        <v>51507.6</v>
      </c>
      <c r="E23" s="66">
        <v>8473.7999999999993</v>
      </c>
      <c r="F23" s="119">
        <v>4563.5</v>
      </c>
      <c r="G23" s="66">
        <v>4947.2</v>
      </c>
      <c r="H23" s="66">
        <v>73834.900000000009</v>
      </c>
      <c r="I23" s="66">
        <v>1704.8</v>
      </c>
      <c r="J23" s="66">
        <v>1001.6</v>
      </c>
      <c r="K23" s="66">
        <v>51516.4</v>
      </c>
      <c r="L23" s="66">
        <v>9349.7999999999993</v>
      </c>
      <c r="M23" s="66">
        <v>1375.4</v>
      </c>
      <c r="N23" s="71">
        <v>1078.4000000000001</v>
      </c>
      <c r="O23" s="71">
        <v>4002.7</v>
      </c>
      <c r="P23" s="71">
        <v>3805.8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</row>
    <row r="24" spans="1:29" s="118" customFormat="1" ht="8.85" customHeight="1">
      <c r="A24" s="71" t="s">
        <v>8</v>
      </c>
      <c r="B24" s="66">
        <v>2790.8</v>
      </c>
      <c r="C24" s="66">
        <v>1804.7</v>
      </c>
      <c r="D24" s="66">
        <v>57037.599999999999</v>
      </c>
      <c r="E24" s="66">
        <v>8854.2000000000007</v>
      </c>
      <c r="F24" s="119">
        <v>4994.5</v>
      </c>
      <c r="G24" s="66">
        <v>5668.8</v>
      </c>
      <c r="H24" s="66">
        <v>81150.600000000006</v>
      </c>
      <c r="I24" s="66">
        <v>1770.1</v>
      </c>
      <c r="J24" s="66">
        <v>1447.6</v>
      </c>
      <c r="K24" s="66">
        <v>57109.9</v>
      </c>
      <c r="L24" s="66">
        <v>9885.1</v>
      </c>
      <c r="M24" s="66">
        <v>1443.4</v>
      </c>
      <c r="N24" s="71">
        <v>1112.4000000000001</v>
      </c>
      <c r="O24" s="71">
        <v>4499.5</v>
      </c>
      <c r="P24" s="71">
        <v>3882.6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</row>
    <row r="25" spans="1:29" s="118" customFormat="1" ht="8.85" customHeight="1">
      <c r="A25" s="70" t="s">
        <v>7</v>
      </c>
      <c r="B25" s="66">
        <v>4664.5</v>
      </c>
      <c r="C25" s="66">
        <v>3176.1</v>
      </c>
      <c r="D25" s="66">
        <v>71078.600000000006</v>
      </c>
      <c r="E25" s="66">
        <v>8226.4</v>
      </c>
      <c r="F25" s="119">
        <v>6264.5</v>
      </c>
      <c r="G25" s="66">
        <v>7687.1</v>
      </c>
      <c r="H25" s="66">
        <v>101097.20000000001</v>
      </c>
      <c r="I25" s="66">
        <v>2778.6</v>
      </c>
      <c r="J25" s="66">
        <v>1332.6</v>
      </c>
      <c r="K25" s="66">
        <v>70972.899999999994</v>
      </c>
      <c r="L25" s="66">
        <v>12109.4</v>
      </c>
      <c r="M25" s="66">
        <v>1424.6</v>
      </c>
      <c r="N25" s="71">
        <v>1061.0999999999999</v>
      </c>
      <c r="O25" s="71">
        <v>6831.6</v>
      </c>
      <c r="P25" s="71">
        <v>4586.3999999999996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1:29" s="118" customFormat="1" ht="8.85" customHeight="1">
      <c r="A26" s="70" t="s">
        <v>6</v>
      </c>
      <c r="B26" s="66">
        <v>4700</v>
      </c>
      <c r="C26" s="66">
        <v>3600</v>
      </c>
      <c r="D26" s="66">
        <v>88400</v>
      </c>
      <c r="E26" s="66">
        <v>10900</v>
      </c>
      <c r="F26" s="66">
        <v>7800</v>
      </c>
      <c r="G26" s="66">
        <v>8900</v>
      </c>
      <c r="H26" s="66">
        <v>124300</v>
      </c>
      <c r="I26" s="66">
        <v>3500</v>
      </c>
      <c r="J26" s="66">
        <v>1600</v>
      </c>
      <c r="K26" s="66">
        <v>86600</v>
      </c>
      <c r="L26" s="66">
        <v>15100</v>
      </c>
      <c r="M26" s="66">
        <v>1900</v>
      </c>
      <c r="N26" s="66">
        <v>1400</v>
      </c>
      <c r="O26" s="66">
        <v>8900</v>
      </c>
      <c r="P26" s="66">
        <v>5300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</row>
    <row r="27" spans="1:29" s="118" customFormat="1" ht="8.85" customHeight="1">
      <c r="A27" s="70" t="s">
        <v>5</v>
      </c>
      <c r="B27" s="66">
        <v>6244.9</v>
      </c>
      <c r="C27" s="66">
        <v>4750.3</v>
      </c>
      <c r="D27" s="66">
        <v>115692.7</v>
      </c>
      <c r="E27" s="66">
        <v>19724.2</v>
      </c>
      <c r="F27" s="66">
        <v>7944.6</v>
      </c>
      <c r="G27" s="66">
        <v>3884.9</v>
      </c>
      <c r="H27" s="66">
        <v>158241.59999999998</v>
      </c>
      <c r="I27" s="66">
        <v>2361.3000000000002</v>
      </c>
      <c r="J27" s="66">
        <v>3156</v>
      </c>
      <c r="K27" s="66">
        <v>117983.3</v>
      </c>
      <c r="L27" s="66">
        <v>15313.2</v>
      </c>
      <c r="M27" s="66">
        <v>1648.7</v>
      </c>
      <c r="N27" s="66">
        <v>1088.3</v>
      </c>
      <c r="O27" s="66">
        <v>7888.9</v>
      </c>
      <c r="P27" s="66">
        <v>8801.9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</row>
    <row r="28" spans="1:29" s="118" customFormat="1" ht="8.85" customHeight="1">
      <c r="A28" s="70" t="s">
        <v>3</v>
      </c>
      <c r="B28" s="66">
        <v>8299.9</v>
      </c>
      <c r="C28" s="66">
        <v>6222.2</v>
      </c>
      <c r="D28" s="66">
        <v>138409.70000000001</v>
      </c>
      <c r="E28" s="66">
        <v>24409.7</v>
      </c>
      <c r="F28" s="66">
        <v>4350.2</v>
      </c>
      <c r="G28" s="66">
        <v>4198.3</v>
      </c>
      <c r="H28" s="66">
        <v>185890.00000000003</v>
      </c>
      <c r="I28" s="66">
        <v>2254.1999999999998</v>
      </c>
      <c r="J28" s="66">
        <v>2369.3000000000002</v>
      </c>
      <c r="K28" s="66">
        <v>138838.5</v>
      </c>
      <c r="L28" s="66">
        <v>22424.6</v>
      </c>
      <c r="M28" s="66">
        <v>1628.6</v>
      </c>
      <c r="N28" s="66">
        <v>1364.7</v>
      </c>
      <c r="O28" s="66">
        <v>8338.5</v>
      </c>
      <c r="P28" s="66">
        <v>8671.6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</row>
    <row r="29" spans="1:29" s="118" customFormat="1" ht="8.85" customHeight="1">
      <c r="A29" s="70" t="s">
        <v>2</v>
      </c>
      <c r="B29" s="66">
        <v>25564.41</v>
      </c>
      <c r="C29" s="66">
        <v>10416.9</v>
      </c>
      <c r="D29" s="66">
        <v>180120.7</v>
      </c>
      <c r="E29" s="66">
        <v>23622.9</v>
      </c>
      <c r="F29" s="66">
        <v>10919.2</v>
      </c>
      <c r="G29" s="66">
        <v>9672.4</v>
      </c>
      <c r="H29" s="66">
        <v>260316.51</v>
      </c>
      <c r="I29" s="66">
        <v>3754.5</v>
      </c>
      <c r="J29" s="66">
        <v>3145.8</v>
      </c>
      <c r="K29" s="66">
        <v>196226.2</v>
      </c>
      <c r="L29" s="66">
        <v>31548</v>
      </c>
      <c r="M29" s="66">
        <v>2203.9</v>
      </c>
      <c r="N29" s="66">
        <v>1423.2</v>
      </c>
      <c r="O29" s="66">
        <v>14419.6</v>
      </c>
      <c r="P29" s="66">
        <v>7595.3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</row>
    <row r="30" spans="1:29" s="118" customFormat="1" ht="8.85" customHeight="1">
      <c r="A30" s="70" t="s">
        <v>1</v>
      </c>
      <c r="B30" s="66">
        <v>30837.226999999999</v>
      </c>
      <c r="C30" s="66">
        <v>13912.642</v>
      </c>
      <c r="D30" s="66">
        <v>248759.10800000001</v>
      </c>
      <c r="E30" s="66">
        <v>35153.684999999998</v>
      </c>
      <c r="F30" s="66">
        <v>12628.544</v>
      </c>
      <c r="G30" s="66">
        <v>5864.7559999999994</v>
      </c>
      <c r="H30" s="66">
        <v>347155.962</v>
      </c>
      <c r="I30" s="66">
        <v>6690.4380000000001</v>
      </c>
      <c r="J30" s="66">
        <v>2626.9009999999998</v>
      </c>
      <c r="K30" s="66">
        <v>263883.81199999998</v>
      </c>
      <c r="L30" s="66">
        <v>38048.331000000006</v>
      </c>
      <c r="M30" s="66">
        <v>2463.8180000000002</v>
      </c>
      <c r="N30" s="66">
        <v>1791.3440000000001</v>
      </c>
      <c r="O30" s="66">
        <v>19186.611000000001</v>
      </c>
      <c r="P30" s="66">
        <v>12464.66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</row>
    <row r="31" spans="1:29" s="115" customFormat="1" ht="8.85" customHeight="1">
      <c r="A31" s="71" t="s">
        <v>92</v>
      </c>
      <c r="B31" s="117">
        <v>32798.300000000003</v>
      </c>
      <c r="C31" s="117">
        <v>17611.199999999997</v>
      </c>
      <c r="D31" s="117">
        <v>323509.7</v>
      </c>
      <c r="E31" s="117">
        <v>40166.1</v>
      </c>
      <c r="F31" s="117">
        <v>16132.4</v>
      </c>
      <c r="G31" s="117">
        <v>7043.2000000000007</v>
      </c>
      <c r="H31" s="117">
        <v>437260.9</v>
      </c>
      <c r="I31" s="117">
        <v>7348.2000000000007</v>
      </c>
      <c r="J31" s="117">
        <v>3670.4</v>
      </c>
      <c r="K31" s="117">
        <v>335593.8</v>
      </c>
      <c r="L31" s="117">
        <v>44442.399999999994</v>
      </c>
      <c r="M31" s="117">
        <v>2597.6999999999998</v>
      </c>
      <c r="N31" s="117">
        <v>1774.1999999999998</v>
      </c>
      <c r="O31" s="117">
        <v>26900.7</v>
      </c>
      <c r="P31" s="117">
        <v>14933.5</v>
      </c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</row>
    <row r="32" spans="1:29" s="115" customFormat="1" ht="8.85" customHeight="1">
      <c r="A32" s="71" t="s">
        <v>93</v>
      </c>
      <c r="B32" s="117">
        <v>38906.699999999997</v>
      </c>
      <c r="C32" s="117">
        <v>19844</v>
      </c>
      <c r="D32" s="117">
        <v>409811.60000000003</v>
      </c>
      <c r="E32" s="117">
        <v>46517.5</v>
      </c>
      <c r="F32" s="155">
        <v>20131.400000000001</v>
      </c>
      <c r="G32" s="117">
        <v>7441.7999999999993</v>
      </c>
      <c r="H32" s="117">
        <v>542653</v>
      </c>
      <c r="I32" s="117">
        <v>6665.2999999999993</v>
      </c>
      <c r="J32" s="117">
        <v>4127.5</v>
      </c>
      <c r="K32" s="117">
        <v>420005.19999999995</v>
      </c>
      <c r="L32" s="117">
        <v>48517.700000000004</v>
      </c>
      <c r="M32" s="117">
        <v>2590.4</v>
      </c>
      <c r="N32" s="156">
        <v>2264.4</v>
      </c>
      <c r="O32" s="156">
        <v>39588.800000000003</v>
      </c>
      <c r="P32" s="156">
        <v>18893.699999999997</v>
      </c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</row>
    <row r="33" spans="1:29" s="115" customFormat="1" ht="8.85" customHeight="1">
      <c r="A33" s="71" t="s">
        <v>96</v>
      </c>
      <c r="B33" s="117">
        <v>43891.3</v>
      </c>
      <c r="C33" s="117">
        <v>22804.1</v>
      </c>
      <c r="D33" s="117">
        <v>458186.69999999995</v>
      </c>
      <c r="E33" s="117">
        <v>27246.7</v>
      </c>
      <c r="F33" s="155">
        <v>38844.5</v>
      </c>
      <c r="G33" s="117">
        <v>33152.5</v>
      </c>
      <c r="H33" s="117">
        <v>624125.79999999993</v>
      </c>
      <c r="I33" s="117">
        <v>4095.7999999999997</v>
      </c>
      <c r="J33" s="117">
        <v>3879.2000000000003</v>
      </c>
      <c r="K33" s="117">
        <v>495629.6</v>
      </c>
      <c r="L33" s="117">
        <v>55680.800000000003</v>
      </c>
      <c r="M33" s="117">
        <v>3018</v>
      </c>
      <c r="N33" s="156">
        <v>2506.3000000000002</v>
      </c>
      <c r="O33" s="156">
        <v>38179</v>
      </c>
      <c r="P33" s="156">
        <v>21137</v>
      </c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</row>
    <row r="34" spans="1:29" s="115" customFormat="1" ht="8.85" customHeight="1">
      <c r="A34" s="71" t="s">
        <v>95</v>
      </c>
      <c r="B34" s="117">
        <v>53048.3</v>
      </c>
      <c r="C34" s="117">
        <v>25010.7</v>
      </c>
      <c r="D34" s="117">
        <v>503281.7</v>
      </c>
      <c r="E34" s="117">
        <v>31359.7</v>
      </c>
      <c r="F34" s="155">
        <v>36597.5</v>
      </c>
      <c r="G34" s="117">
        <v>31606.3</v>
      </c>
      <c r="H34" s="117">
        <v>680904.2</v>
      </c>
      <c r="I34" s="117">
        <v>6326.4</v>
      </c>
      <c r="J34" s="117">
        <v>1832.1</v>
      </c>
      <c r="K34" s="117">
        <v>543367.1</v>
      </c>
      <c r="L34" s="117">
        <v>59300.3</v>
      </c>
      <c r="M34" s="117">
        <v>2521</v>
      </c>
      <c r="N34" s="156">
        <v>2589.3000000000002</v>
      </c>
      <c r="O34" s="156">
        <v>40713</v>
      </c>
      <c r="P34" s="156">
        <v>24255.1</v>
      </c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</row>
    <row r="35" spans="1:29">
      <c r="A35" s="111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1"/>
      <c r="R35" s="113"/>
      <c r="S35" s="111"/>
      <c r="T35" s="111"/>
      <c r="U35" s="111"/>
      <c r="V35" s="111"/>
      <c r="W35" s="111"/>
      <c r="X35" s="112"/>
      <c r="Y35" s="111"/>
      <c r="Z35" s="111"/>
      <c r="AA35" s="112"/>
      <c r="AB35" s="111"/>
      <c r="AC35" s="111"/>
    </row>
    <row r="36" spans="1:29">
      <c r="A36" s="62" t="s">
        <v>76</v>
      </c>
    </row>
    <row r="37" spans="1:29">
      <c r="A37" s="64" t="s">
        <v>75</v>
      </c>
    </row>
  </sheetData>
  <mergeCells count="22">
    <mergeCell ref="AB4:AB6"/>
    <mergeCell ref="B5:C6"/>
    <mergeCell ref="D5:E6"/>
    <mergeCell ref="F5:G6"/>
    <mergeCell ref="I5:J6"/>
    <mergeCell ref="K5:L6"/>
    <mergeCell ref="M5:N6"/>
    <mergeCell ref="X5:X6"/>
    <mergeCell ref="T5:T6"/>
    <mergeCell ref="S4:X4"/>
    <mergeCell ref="U5:U6"/>
    <mergeCell ref="V5:V6"/>
    <mergeCell ref="W5:W6"/>
    <mergeCell ref="Z5:Z6"/>
    <mergeCell ref="AA5:AA6"/>
    <mergeCell ref="Y4:AA4"/>
    <mergeCell ref="A4:A7"/>
    <mergeCell ref="B4:G4"/>
    <mergeCell ref="I4:P4"/>
    <mergeCell ref="Q4:Q6"/>
    <mergeCell ref="R4:R6"/>
    <mergeCell ref="O5:P6"/>
  </mergeCells>
  <printOptions horizontalCentered="1"/>
  <pageMargins left="0.51181102362204722" right="0.51181102362204722" top="0.82" bottom="0" header="0.51181102362204722" footer="0.19685039370078741"/>
  <pageSetup paperSize="9" firstPageNumber="55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EPF</vt:lpstr>
      <vt:lpstr>CIT</vt:lpstr>
      <vt:lpstr>Insurance Companies</vt:lpstr>
      <vt:lpstr>CIT!Print_Area</vt:lpstr>
      <vt:lpstr>EPF!Print_Area</vt:lpstr>
      <vt:lpstr>'Insurance Companies'!Print_Area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Rekha Ghimire</cp:lastModifiedBy>
  <dcterms:created xsi:type="dcterms:W3CDTF">2022-03-02T10:50:54Z</dcterms:created>
  <dcterms:modified xsi:type="dcterms:W3CDTF">2023-09-27T06:01:10Z</dcterms:modified>
</cp:coreProperties>
</file>