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Binod\Quarterly\"/>
    </mc:Choice>
  </mc:AlternateContent>
  <xr:revisionPtr revIDLastSave="0" documentId="13_ncr:1_{FDD26D66-B884-4C85-A3DC-FFC449704C3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PF" sheetId="1" r:id="rId1"/>
    <sheet name="CIT" sheetId="2" r:id="rId2"/>
    <sheet name="Insurance Companies" sheetId="3" r:id="rId3"/>
  </sheets>
  <definedNames>
    <definedName name="_xlnm.Print_Area" localSheetId="1">CIT!$A$1:$N$60</definedName>
    <definedName name="_xlnm.Print_Area" localSheetId="0">EPF!$A$1:$Z$82</definedName>
    <definedName name="_xlnm.Print_Area" localSheetId="2">'Insurance Companies'!$A$1:$P$74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2" l="1"/>
  <c r="F72" i="2"/>
  <c r="N71" i="2"/>
  <c r="K71" i="2"/>
  <c r="F71" i="2"/>
  <c r="O72" i="2" l="1"/>
  <c r="O71" i="2"/>
  <c r="H64" i="3"/>
  <c r="N66" i="2"/>
  <c r="L66" i="2"/>
  <c r="I66" i="2"/>
  <c r="K66" i="2" s="1"/>
  <c r="C66" i="2"/>
  <c r="F66" i="2" s="1"/>
  <c r="W70" i="1"/>
  <c r="R70" i="1"/>
  <c r="E70" i="1"/>
  <c r="M70" i="1" l="1"/>
  <c r="O66" i="2"/>
  <c r="U69" i="1"/>
  <c r="W69" i="1" s="1"/>
  <c r="O69" i="1"/>
  <c r="R69" i="1" s="1"/>
  <c r="D69" i="1"/>
  <c r="E69" i="1" s="1"/>
  <c r="Z67" i="1"/>
  <c r="X67" i="1"/>
  <c r="U67" i="1"/>
  <c r="W67" i="1" s="1"/>
  <c r="O67" i="1"/>
  <c r="R67" i="1" s="1"/>
  <c r="D67" i="1"/>
  <c r="C67" i="1"/>
  <c r="E67" i="1" l="1"/>
  <c r="M67" i="1"/>
  <c r="M69" i="1"/>
  <c r="Z62" i="1"/>
  <c r="X62" i="1"/>
  <c r="W62" i="1"/>
  <c r="O62" i="1"/>
  <c r="R62" i="1" s="1"/>
  <c r="D62" i="1"/>
  <c r="E62" i="1" s="1"/>
  <c r="Z61" i="1"/>
  <c r="X61" i="1"/>
  <c r="W61" i="1"/>
  <c r="O61" i="1"/>
  <c r="R61" i="1" s="1"/>
  <c r="D61" i="1"/>
  <c r="E61" i="1" s="1"/>
  <c r="W60" i="1"/>
  <c r="R60" i="1"/>
  <c r="D60" i="1"/>
  <c r="X59" i="1"/>
  <c r="W59" i="1"/>
  <c r="O59" i="1"/>
  <c r="R59" i="1" s="1"/>
  <c r="D59" i="1"/>
  <c r="X58" i="1"/>
  <c r="W58" i="1"/>
  <c r="O58" i="1"/>
  <c r="D58" i="1"/>
  <c r="E58" i="1" s="1"/>
  <c r="X57" i="1"/>
  <c r="W57" i="1"/>
  <c r="R57" i="1"/>
  <c r="D57" i="1"/>
  <c r="X56" i="1"/>
  <c r="W56" i="1"/>
  <c r="R56" i="1"/>
  <c r="D56" i="1"/>
  <c r="E56" i="1" s="1"/>
  <c r="X55" i="1"/>
  <c r="W55" i="1"/>
  <c r="O55" i="1"/>
  <c r="R55" i="1" s="1"/>
  <c r="D55" i="1"/>
  <c r="E55" i="1" s="1"/>
  <c r="X54" i="1"/>
  <c r="W54" i="1"/>
  <c r="R54" i="1"/>
  <c r="E54" i="1"/>
  <c r="X53" i="1"/>
  <c r="W53" i="1"/>
  <c r="R53" i="1"/>
  <c r="E53" i="1"/>
  <c r="Z52" i="1"/>
  <c r="X52" i="1"/>
  <c r="W52" i="1"/>
  <c r="R52" i="1"/>
  <c r="C52" i="1"/>
  <c r="E52" i="1" s="1"/>
  <c r="W51" i="1"/>
  <c r="R51" i="1"/>
  <c r="E51" i="1"/>
  <c r="X50" i="1"/>
  <c r="W50" i="1"/>
  <c r="R50" i="1"/>
  <c r="E50" i="1"/>
  <c r="X49" i="1"/>
  <c r="W49" i="1"/>
  <c r="R49" i="1"/>
  <c r="E49" i="1"/>
  <c r="W48" i="1"/>
  <c r="R48" i="1"/>
  <c r="D48" i="1"/>
  <c r="W47" i="1"/>
  <c r="R47" i="1"/>
  <c r="E47" i="1"/>
  <c r="X46" i="1"/>
  <c r="W46" i="1"/>
  <c r="R46" i="1"/>
  <c r="D46" i="1"/>
  <c r="E46" i="1" s="1"/>
  <c r="Z45" i="1"/>
  <c r="X45" i="1"/>
  <c r="V45" i="1"/>
  <c r="U45" i="1"/>
  <c r="S45" i="1"/>
  <c r="O45" i="1"/>
  <c r="N45" i="1"/>
  <c r="D45" i="1"/>
  <c r="E45" i="1" s="1"/>
  <c r="Z44" i="1"/>
  <c r="Y44" i="1"/>
  <c r="X44" i="1"/>
  <c r="V44" i="1"/>
  <c r="U44" i="1"/>
  <c r="S44" i="1"/>
  <c r="O44" i="1"/>
  <c r="N44" i="1"/>
  <c r="D44" i="1"/>
  <c r="Z43" i="1"/>
  <c r="Y43" i="1"/>
  <c r="X43" i="1"/>
  <c r="V43" i="1"/>
  <c r="U43" i="1"/>
  <c r="S43" i="1"/>
  <c r="O43" i="1"/>
  <c r="N43" i="1"/>
  <c r="D43" i="1"/>
  <c r="Z42" i="1"/>
  <c r="Y42" i="1"/>
  <c r="X42" i="1"/>
  <c r="V42" i="1"/>
  <c r="U42" i="1"/>
  <c r="S42" i="1"/>
  <c r="O42" i="1"/>
  <c r="N42" i="1"/>
  <c r="D42" i="1"/>
  <c r="C42" i="1"/>
  <c r="Z41" i="1"/>
  <c r="Y41" i="1"/>
  <c r="X41" i="1"/>
  <c r="V41" i="1"/>
  <c r="U41" i="1"/>
  <c r="S41" i="1"/>
  <c r="O41" i="1"/>
  <c r="N41" i="1"/>
  <c r="D41" i="1"/>
  <c r="C41" i="1"/>
  <c r="Z40" i="1"/>
  <c r="Y40" i="1"/>
  <c r="X40" i="1"/>
  <c r="V40" i="1"/>
  <c r="U40" i="1"/>
  <c r="S40" i="1"/>
  <c r="O40" i="1"/>
  <c r="N40" i="1"/>
  <c r="D40" i="1"/>
  <c r="C40" i="1"/>
  <c r="Z39" i="1"/>
  <c r="Y39" i="1"/>
  <c r="X39" i="1"/>
  <c r="U39" i="1"/>
  <c r="S39" i="1"/>
  <c r="O39" i="1"/>
  <c r="N39" i="1"/>
  <c r="D39" i="1"/>
  <c r="C39" i="1"/>
  <c r="Z38" i="1"/>
  <c r="Y38" i="1"/>
  <c r="X38" i="1"/>
  <c r="V38" i="1"/>
  <c r="U38" i="1"/>
  <c r="S38" i="1"/>
  <c r="O38" i="1"/>
  <c r="N38" i="1"/>
  <c r="D38" i="1"/>
  <c r="C38" i="1"/>
  <c r="Z37" i="1"/>
  <c r="Y37" i="1"/>
  <c r="V37" i="1"/>
  <c r="U37" i="1"/>
  <c r="S37" i="1"/>
  <c r="O37" i="1"/>
  <c r="N37" i="1"/>
  <c r="D37" i="1"/>
  <c r="C37" i="1"/>
  <c r="Z36" i="1"/>
  <c r="Y36" i="1"/>
  <c r="X36" i="1"/>
  <c r="V36" i="1"/>
  <c r="U36" i="1"/>
  <c r="S36" i="1"/>
  <c r="O36" i="1"/>
  <c r="N36" i="1"/>
  <c r="D36" i="1"/>
  <c r="C36" i="1"/>
  <c r="Z35" i="1"/>
  <c r="Y35" i="1"/>
  <c r="X35" i="1"/>
  <c r="V35" i="1"/>
  <c r="U35" i="1"/>
  <c r="S35" i="1"/>
  <c r="O35" i="1"/>
  <c r="N35" i="1"/>
  <c r="D35" i="1"/>
  <c r="C35" i="1"/>
  <c r="Z34" i="1"/>
  <c r="Y34" i="1"/>
  <c r="X34" i="1"/>
  <c r="V34" i="1"/>
  <c r="U34" i="1"/>
  <c r="T34" i="1"/>
  <c r="S34" i="1"/>
  <c r="O34" i="1"/>
  <c r="N34" i="1"/>
  <c r="D34" i="1"/>
  <c r="C34" i="1"/>
  <c r="Z33" i="1"/>
  <c r="Y33" i="1"/>
  <c r="X33" i="1"/>
  <c r="V33" i="1"/>
  <c r="U33" i="1"/>
  <c r="T33" i="1"/>
  <c r="S33" i="1"/>
  <c r="O33" i="1"/>
  <c r="N33" i="1"/>
  <c r="D33" i="1"/>
  <c r="C33" i="1"/>
  <c r="Z32" i="1"/>
  <c r="Y32" i="1"/>
  <c r="X32" i="1"/>
  <c r="V32" i="1"/>
  <c r="U32" i="1"/>
  <c r="S32" i="1"/>
  <c r="O32" i="1"/>
  <c r="N32" i="1"/>
  <c r="R32" i="1" s="1"/>
  <c r="D32" i="1"/>
  <c r="C32" i="1"/>
  <c r="X31" i="1"/>
  <c r="W31" i="1"/>
  <c r="R31" i="1"/>
  <c r="D31" i="1"/>
  <c r="E31" i="1" s="1"/>
  <c r="X30" i="1"/>
  <c r="W30" i="1"/>
  <c r="R30" i="1"/>
  <c r="D30" i="1"/>
  <c r="Z29" i="1"/>
  <c r="X29" i="1"/>
  <c r="W29" i="1"/>
  <c r="R29" i="1"/>
  <c r="D29" i="1"/>
  <c r="E29" i="1" s="1"/>
  <c r="V28" i="1"/>
  <c r="R28" i="1"/>
  <c r="D28" i="1"/>
  <c r="E28" i="1" s="1"/>
  <c r="Z27" i="1"/>
  <c r="V27" i="1"/>
  <c r="W27" i="1" s="1"/>
  <c r="R27" i="1"/>
  <c r="D27" i="1"/>
  <c r="Z26" i="1"/>
  <c r="V26" i="1"/>
  <c r="W26" i="1" s="1"/>
  <c r="N26" i="1"/>
  <c r="R26" i="1" s="1"/>
  <c r="D26" i="1"/>
  <c r="E26" i="1" s="1"/>
  <c r="X25" i="1"/>
  <c r="M25" i="1" s="1"/>
  <c r="D25" i="1"/>
  <c r="E25" i="1" s="1"/>
  <c r="X24" i="1"/>
  <c r="M24" i="1" s="1"/>
  <c r="D24" i="1"/>
  <c r="E24" i="1" s="1"/>
  <c r="R42" i="1" l="1"/>
  <c r="M50" i="1"/>
  <c r="M26" i="1"/>
  <c r="E35" i="1"/>
  <c r="R36" i="1"/>
  <c r="M57" i="1"/>
  <c r="M48" i="1"/>
  <c r="M51" i="1"/>
  <c r="M60" i="1"/>
  <c r="R43" i="1"/>
  <c r="M52" i="1"/>
  <c r="W32" i="1"/>
  <c r="M32" i="1" s="1"/>
  <c r="W37" i="1"/>
  <c r="M31" i="1"/>
  <c r="R45" i="1"/>
  <c r="M56" i="1"/>
  <c r="M59" i="1"/>
  <c r="R35" i="1"/>
  <c r="W36" i="1"/>
  <c r="R40" i="1"/>
  <c r="W41" i="1"/>
  <c r="M47" i="1"/>
  <c r="R34" i="1"/>
  <c r="R39" i="1"/>
  <c r="W40" i="1"/>
  <c r="R38" i="1"/>
  <c r="W39" i="1"/>
  <c r="E37" i="1"/>
  <c r="W44" i="1"/>
  <c r="M30" i="1"/>
  <c r="W38" i="1"/>
  <c r="R37" i="1"/>
  <c r="E42" i="1"/>
  <c r="M49" i="1"/>
  <c r="W43" i="1"/>
  <c r="M61" i="1"/>
  <c r="W45" i="1"/>
  <c r="E30" i="1"/>
  <c r="R33" i="1"/>
  <c r="W33" i="1"/>
  <c r="E48" i="1"/>
  <c r="W34" i="1"/>
  <c r="R41" i="1"/>
  <c r="M29" i="1"/>
  <c r="R44" i="1"/>
  <c r="M54" i="1"/>
  <c r="R58" i="1"/>
  <c r="M58" i="1" s="1"/>
  <c r="M27" i="1"/>
  <c r="E57" i="1"/>
  <c r="W35" i="1"/>
  <c r="E39" i="1"/>
  <c r="W42" i="1"/>
  <c r="M42" i="1" s="1"/>
  <c r="M53" i="1"/>
  <c r="M55" i="1"/>
  <c r="M46" i="1"/>
  <c r="E27" i="1"/>
  <c r="W28" i="1"/>
  <c r="M28" i="1" s="1"/>
  <c r="E44" i="1"/>
  <c r="E60" i="1"/>
  <c r="E32" i="1"/>
  <c r="E40" i="1"/>
  <c r="E36" i="1"/>
  <c r="E59" i="1"/>
  <c r="M62" i="1"/>
  <c r="E33" i="1"/>
  <c r="E41" i="1"/>
  <c r="E34" i="1"/>
  <c r="E38" i="1"/>
  <c r="E43" i="1"/>
  <c r="M45" i="1" l="1"/>
  <c r="M40" i="1"/>
  <c r="M41" i="1"/>
  <c r="M39" i="1"/>
  <c r="M36" i="1"/>
  <c r="M38" i="1"/>
  <c r="M43" i="1"/>
  <c r="M35" i="1"/>
  <c r="M44" i="1"/>
  <c r="M37" i="1"/>
  <c r="M34" i="1"/>
  <c r="M33" i="1"/>
</calcChain>
</file>

<file path=xl/sharedStrings.xml><?xml version="1.0" encoding="utf-8"?>
<sst xmlns="http://schemas.openxmlformats.org/spreadsheetml/2006/main" count="357" uniqueCount="145">
  <si>
    <t>In Million Rupees</t>
  </si>
  <si>
    <t>Mid-Month</t>
  </si>
  <si>
    <t>Sources of Fund</t>
  </si>
  <si>
    <t>Sources/ Uses</t>
  </si>
  <si>
    <t>Uses of Fund</t>
  </si>
  <si>
    <t>Deposits</t>
  </si>
  <si>
    <t>Borrowing</t>
  </si>
  <si>
    <t>Other Sources*</t>
  </si>
  <si>
    <t>Source/ Uses</t>
  </si>
  <si>
    <t>Loans and Advances</t>
  </si>
  <si>
    <t>Investment</t>
  </si>
  <si>
    <t>Fixed Assests</t>
  </si>
  <si>
    <t>Liquid Fund</t>
  </si>
  <si>
    <t>Other Assets</t>
  </si>
  <si>
    <t>Paid-Up Capital</t>
  </si>
  <si>
    <t>Provident Fund</t>
  </si>
  <si>
    <t>Other Reserve</t>
  </si>
  <si>
    <t>Total</t>
  </si>
  <si>
    <t>NRB</t>
  </si>
  <si>
    <t>Commercial</t>
  </si>
  <si>
    <t>Other</t>
  </si>
  <si>
    <t>Institutional &amp; Other Loan</t>
  </si>
  <si>
    <t>Employee Loan</t>
  </si>
  <si>
    <t>Staff Loan</t>
  </si>
  <si>
    <t>Leasing</t>
  </si>
  <si>
    <t xml:space="preserve">Government Securities </t>
  </si>
  <si>
    <t>Pokhara Awas</t>
  </si>
  <si>
    <t>Share</t>
  </si>
  <si>
    <t>Fixed Deposits</t>
  </si>
  <si>
    <t>Bank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</si>
  <si>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</si>
  <si>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</si>
  <si>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</si>
  <si>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</si>
  <si>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</si>
  <si>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</si>
  <si>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</si>
  <si>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</si>
  <si>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</si>
  <si>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</si>
  <si>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 xml:space="preserve">                                                                                                                          </t>
  </si>
  <si>
    <t>2004 Jul</t>
  </si>
  <si>
    <t>2005 Jul</t>
  </si>
  <si>
    <t>2006 Jul</t>
  </si>
  <si>
    <t>2007 Jul</t>
  </si>
  <si>
    <t>2008 Jul</t>
  </si>
  <si>
    <t>2009 Jul</t>
  </si>
  <si>
    <t>-</t>
  </si>
  <si>
    <t>2010 Jan</t>
  </si>
  <si>
    <t>2010 Jul</t>
  </si>
  <si>
    <t xml:space="preserve">2011 Jan </t>
  </si>
  <si>
    <t>2011 Jul</t>
  </si>
  <si>
    <t>2012 Jan</t>
  </si>
  <si>
    <t>2012 Jul</t>
  </si>
  <si>
    <t>2013 Jan</t>
  </si>
  <si>
    <t>2013 Jul</t>
  </si>
  <si>
    <t>2013 Oct</t>
  </si>
  <si>
    <t>2014 Jan</t>
  </si>
  <si>
    <t>2014 Apr</t>
  </si>
  <si>
    <t>2014 July</t>
  </si>
  <si>
    <t>2014 Oct</t>
  </si>
  <si>
    <t>2015 Jan</t>
  </si>
  <si>
    <t>2015 Apr</t>
  </si>
  <si>
    <t>2015 July</t>
  </si>
  <si>
    <t>2015Oct</t>
  </si>
  <si>
    <t>2016 Jan</t>
  </si>
  <si>
    <t>2016 Apr</t>
  </si>
  <si>
    <t>2016 Jul</t>
  </si>
  <si>
    <t>2016 Oct</t>
  </si>
  <si>
    <t>2017 Jan</t>
  </si>
  <si>
    <t>2017 Apr</t>
  </si>
  <si>
    <t>2017 Jul</t>
  </si>
  <si>
    <t>2017 Oct</t>
  </si>
  <si>
    <t>2018 Jan</t>
  </si>
  <si>
    <t>2018 Apr</t>
  </si>
  <si>
    <t>2018 July</t>
  </si>
  <si>
    <t>2018 Oct</t>
  </si>
  <si>
    <t>2019 Jan</t>
  </si>
  <si>
    <t>2019 Apr</t>
  </si>
  <si>
    <t>2019 Jul</t>
  </si>
  <si>
    <t>2019 Oct</t>
  </si>
  <si>
    <t>2020 Jan</t>
  </si>
  <si>
    <t>2020 Apr</t>
  </si>
  <si>
    <t>Source: Employees Provident Fund</t>
  </si>
  <si>
    <t>Paid-Up</t>
  </si>
  <si>
    <t>Reserve</t>
  </si>
  <si>
    <t>Fund</t>
  </si>
  <si>
    <t xml:space="preserve">Govt. </t>
  </si>
  <si>
    <t>Share &amp;</t>
  </si>
  <si>
    <t>Loans &amp;</t>
  </si>
  <si>
    <t xml:space="preserve">Others </t>
  </si>
  <si>
    <t>Capital</t>
  </si>
  <si>
    <t>Collection</t>
  </si>
  <si>
    <t>Liabilities</t>
  </si>
  <si>
    <t>Securities</t>
  </si>
  <si>
    <t>Debenture</t>
  </si>
  <si>
    <t>Call Money</t>
  </si>
  <si>
    <t>Advances</t>
  </si>
  <si>
    <t>Assets</t>
  </si>
  <si>
    <t>1994 Jul.</t>
  </si>
  <si>
    <t>1995 Jul.</t>
  </si>
  <si>
    <t>478/.47</t>
  </si>
  <si>
    <t>2014 Jul</t>
  </si>
  <si>
    <t>2015 Jul</t>
  </si>
  <si>
    <t>2015 Oct</t>
  </si>
  <si>
    <t>2018 Jul</t>
  </si>
  <si>
    <t>Source: Citizen Investment Trust</t>
  </si>
  <si>
    <t>Reserve/Fund</t>
  </si>
  <si>
    <t>Sources/</t>
  </si>
  <si>
    <t>Cash &amp; Bank Balance</t>
  </si>
  <si>
    <t>Fixed Assets</t>
  </si>
  <si>
    <t>Hire</t>
  </si>
  <si>
    <t>Housing</t>
  </si>
  <si>
    <t>Term Loan</t>
  </si>
  <si>
    <t>Others</t>
  </si>
  <si>
    <t>Uses</t>
  </si>
  <si>
    <t>Purchase</t>
  </si>
  <si>
    <t>Life</t>
  </si>
  <si>
    <t>Non-life</t>
  </si>
  <si>
    <t>2011 Jan</t>
  </si>
  <si>
    <t>Note: Data readjusted from 2005  according to letter of Beema Samiti dated 8 October 2009.</t>
  </si>
  <si>
    <t>Sources and Uses of Employees Provident Fund</t>
  </si>
  <si>
    <t>Sources and Uses of Citizen Investment Trust</t>
  </si>
  <si>
    <t>Sources and Uses of Insurance Companies</t>
  </si>
  <si>
    <t>2022 Jan</t>
  </si>
  <si>
    <t>2022 Apr</t>
  </si>
  <si>
    <t>2020 Oct</t>
  </si>
  <si>
    <t>2021 Jan</t>
  </si>
  <si>
    <t>2021 Apr</t>
  </si>
  <si>
    <t>2021 Jul</t>
  </si>
  <si>
    <t>2021 Oct</t>
  </si>
  <si>
    <t>2020 Jul</t>
  </si>
  <si>
    <t>2022 Oct</t>
  </si>
  <si>
    <t>Source: Insurance Authority of Nepal.</t>
  </si>
  <si>
    <t>2023 Jan</t>
  </si>
  <si>
    <t>2023 Apr</t>
  </si>
  <si>
    <t>2023 July</t>
  </si>
  <si>
    <t>2023 Oct</t>
  </si>
  <si>
    <t>2021 Ar</t>
  </si>
  <si>
    <t>2021 July</t>
  </si>
  <si>
    <t>2022 July</t>
  </si>
  <si>
    <t>2022 Jul</t>
  </si>
  <si>
    <t>2024 Jan</t>
  </si>
  <si>
    <t>2024 Apr</t>
  </si>
  <si>
    <t>2024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</si>
</sst>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(* #,##0.0_);_(* \(#,##0.0\);_(* &quot;-&quot;??_);_(@_)"/>
    <numFmt numFmtId="166" formatCode="#,##0.0"/>
    <numFmt numFmtId="167" formatCode="#,##0.0_);[Red]\(#,##0.0\)"/>
    <numFmt numFmtId="168" formatCode="_(* #,##0_);_(* \(#,##0\);_(* &quot;-&quot;??_);_(@_)"/>
  </numFmts>
  <fonts count="16">
    <font>
      <sz val="8"/>
      <name val="Times New Roman"/>
    </font>
    <font>
      <b/>
      <sz val="10"/>
      <name val="Helvetica"/>
      <family val="2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sz val="7.5"/>
      <color theme="1"/>
      <name val="Times New Roman"/>
      <family val="1"/>
    </font>
    <font>
      <sz val="10"/>
      <name val="Geneva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>
      <alignment vertical="center"/>
    </xf>
    <xf numFmtId="40" fontId="8" fillId="0" borderId="0" applyFont="0" applyFill="0" applyBorder="0" applyAlignment="0" applyProtection="0"/>
    <xf numFmtId="0" fontId="15" fillId="0" borderId="0"/>
  </cellStyleXfs>
  <cellXfs count="213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3" fillId="0" borderId="0" xfId="0" applyNumberFormat="1" applyFont="1">
      <alignment vertical="center"/>
    </xf>
    <xf numFmtId="164" fontId="4" fillId="0" borderId="4" xfId="0" applyNumberFormat="1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164" fontId="5" fillId="0" borderId="7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right" vertical="center"/>
    </xf>
    <xf numFmtId="164" fontId="6" fillId="2" borderId="10" xfId="0" applyNumberFormat="1" applyFont="1" applyFill="1" applyBorder="1" applyAlignment="1"/>
    <xf numFmtId="164" fontId="6" fillId="2" borderId="15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1" fontId="7" fillId="2" borderId="15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 wrapText="1"/>
    </xf>
    <xf numFmtId="1" fontId="7" fillId="2" borderId="15" xfId="0" applyNumberFormat="1" applyFont="1" applyFill="1" applyBorder="1" applyAlignment="1">
      <alignment horizontal="center" wrapText="1"/>
    </xf>
    <xf numFmtId="164" fontId="7" fillId="0" borderId="15" xfId="0" applyNumberFormat="1" applyFont="1" applyBorder="1">
      <alignment vertical="center"/>
    </xf>
    <xf numFmtId="165" fontId="6" fillId="0" borderId="15" xfId="1" applyNumberFormat="1" applyFont="1" applyBorder="1" applyAlignment="1">
      <alignment horizontal="center" vertical="center"/>
    </xf>
    <xf numFmtId="165" fontId="7" fillId="0" borderId="15" xfId="1" applyNumberFormat="1" applyFont="1" applyBorder="1" applyAlignment="1">
      <alignment horizontal="center" vertical="center"/>
    </xf>
    <xf numFmtId="165" fontId="6" fillId="0" borderId="15" xfId="1" applyNumberFormat="1" applyFont="1" applyFill="1" applyBorder="1" applyAlignment="1">
      <alignment horizontal="center" vertical="center"/>
    </xf>
    <xf numFmtId="164" fontId="5" fillId="0" borderId="0" xfId="0" applyNumberFormat="1" applyFont="1">
      <alignment vertical="center"/>
    </xf>
    <xf numFmtId="164" fontId="9" fillId="3" borderId="9" xfId="0" applyNumberFormat="1" applyFont="1" applyFill="1" applyBorder="1" applyAlignment="1"/>
    <xf numFmtId="165" fontId="9" fillId="3" borderId="9" xfId="1" applyNumberFormat="1" applyFont="1" applyFill="1" applyBorder="1" applyAlignment="1">
      <alignment horizontal="center"/>
    </xf>
    <xf numFmtId="164" fontId="9" fillId="3" borderId="0" xfId="0" applyNumberFormat="1" applyFont="1" applyFill="1">
      <alignment vertical="center"/>
    </xf>
    <xf numFmtId="164" fontId="9" fillId="3" borderId="14" xfId="0" applyNumberFormat="1" applyFont="1" applyFill="1" applyBorder="1" applyAlignment="1"/>
    <xf numFmtId="165" fontId="9" fillId="3" borderId="14" xfId="1" applyNumberFormat="1" applyFont="1" applyFill="1" applyBorder="1" applyAlignment="1">
      <alignment horizontal="center"/>
    </xf>
    <xf numFmtId="40" fontId="9" fillId="3" borderId="14" xfId="1" applyFont="1" applyFill="1" applyBorder="1" applyAlignment="1"/>
    <xf numFmtId="165" fontId="9" fillId="3" borderId="14" xfId="1" applyNumberFormat="1" applyFont="1" applyFill="1" applyBorder="1" applyAlignment="1"/>
    <xf numFmtId="40" fontId="9" fillId="3" borderId="0" xfId="1" applyFont="1" applyFill="1" applyBorder="1" applyAlignment="1">
      <alignment vertical="center"/>
    </xf>
    <xf numFmtId="165" fontId="9" fillId="3" borderId="14" xfId="0" applyNumberFormat="1" applyFont="1" applyFill="1" applyBorder="1" applyAlignment="1"/>
    <xf numFmtId="166" fontId="9" fillId="3" borderId="0" xfId="0" applyNumberFormat="1" applyFont="1" applyFill="1">
      <alignment vertical="center"/>
    </xf>
    <xf numFmtId="166" fontId="9" fillId="3" borderId="0" xfId="1" applyNumberFormat="1" applyFont="1" applyFill="1" applyBorder="1" applyAlignment="1">
      <alignment vertical="center"/>
    </xf>
    <xf numFmtId="166" fontId="9" fillId="3" borderId="0" xfId="1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>
      <alignment vertical="center"/>
    </xf>
    <xf numFmtId="164" fontId="9" fillId="0" borderId="14" xfId="0" applyNumberFormat="1" applyFont="1" applyBorder="1" applyAlignment="1"/>
    <xf numFmtId="165" fontId="9" fillId="0" borderId="14" xfId="1" applyNumberFormat="1" applyFont="1" applyBorder="1" applyAlignment="1"/>
    <xf numFmtId="165" fontId="9" fillId="0" borderId="14" xfId="1" applyNumberFormat="1" applyFont="1" applyBorder="1" applyAlignment="1">
      <alignment horizontal="center"/>
    </xf>
    <xf numFmtId="165" fontId="9" fillId="0" borderId="14" xfId="0" applyNumberFormat="1" applyFont="1" applyBorder="1" applyAlignment="1"/>
    <xf numFmtId="164" fontId="9" fillId="0" borderId="0" xfId="0" applyNumberFormat="1" applyFont="1">
      <alignment vertical="center"/>
    </xf>
    <xf numFmtId="164" fontId="10" fillId="0" borderId="14" xfId="0" applyNumberFormat="1" applyFont="1" applyBorder="1" applyAlignment="1"/>
    <xf numFmtId="165" fontId="10" fillId="0" borderId="14" xfId="0" applyNumberFormat="1" applyFont="1" applyBorder="1" applyAlignment="1"/>
    <xf numFmtId="165" fontId="10" fillId="0" borderId="14" xfId="1" applyNumberFormat="1" applyFont="1" applyBorder="1" applyAlignment="1"/>
    <xf numFmtId="165" fontId="10" fillId="0" borderId="14" xfId="0" applyNumberFormat="1" applyFont="1" applyBorder="1" applyAlignment="1">
      <alignment horizontal="center"/>
    </xf>
    <xf numFmtId="164" fontId="10" fillId="0" borderId="0" xfId="0" applyNumberFormat="1" applyFont="1">
      <alignment vertical="center"/>
    </xf>
    <xf numFmtId="164" fontId="9" fillId="0" borderId="14" xfId="1" applyNumberFormat="1" applyFont="1" applyBorder="1" applyAlignment="1"/>
    <xf numFmtId="164" fontId="9" fillId="0" borderId="14" xfId="0" applyNumberFormat="1" applyFont="1" applyBorder="1" applyAlignment="1">
      <alignment horizontal="center"/>
    </xf>
    <xf numFmtId="164" fontId="10" fillId="0" borderId="14" xfId="1" applyNumberFormat="1" applyFont="1" applyBorder="1" applyAlignment="1"/>
    <xf numFmtId="164" fontId="10" fillId="0" borderId="14" xfId="0" applyNumberFormat="1" applyFont="1" applyBorder="1" applyAlignment="1">
      <alignment horizontal="center"/>
    </xf>
    <xf numFmtId="164" fontId="9" fillId="0" borderId="14" xfId="0" quotePrefix="1" applyNumberFormat="1" applyFont="1" applyBorder="1" applyAlignment="1">
      <alignment horizontal="center"/>
    </xf>
    <xf numFmtId="164" fontId="9" fillId="0" borderId="14" xfId="1" applyNumberFormat="1" applyFont="1" applyFill="1" applyBorder="1" applyAlignment="1"/>
    <xf numFmtId="164" fontId="10" fillId="0" borderId="14" xfId="0" quotePrefix="1" applyNumberFormat="1" applyFont="1" applyBorder="1" applyAlignment="1">
      <alignment horizontal="center"/>
    </xf>
    <xf numFmtId="164" fontId="10" fillId="0" borderId="14" xfId="1" applyNumberFormat="1" applyFont="1" applyFill="1" applyBorder="1" applyAlignment="1"/>
    <xf numFmtId="164" fontId="10" fillId="0" borderId="0" xfId="0" applyNumberFormat="1" applyFont="1" applyAlignment="1"/>
    <xf numFmtId="167" fontId="10" fillId="0" borderId="14" xfId="1" applyNumberFormat="1" applyFont="1" applyFill="1" applyBorder="1" applyAlignment="1"/>
    <xf numFmtId="164" fontId="9" fillId="0" borderId="0" xfId="0" applyNumberFormat="1" applyFont="1" applyAlignment="1"/>
    <xf numFmtId="167" fontId="9" fillId="0" borderId="14" xfId="1" applyNumberFormat="1" applyFont="1" applyFill="1" applyBorder="1" applyAlignment="1"/>
    <xf numFmtId="164" fontId="7" fillId="0" borderId="0" xfId="0" applyNumberFormat="1" applyFont="1">
      <alignment vertical="center"/>
    </xf>
    <xf numFmtId="164" fontId="3" fillId="0" borderId="16" xfId="0" applyNumberFormat="1" applyFont="1" applyBorder="1">
      <alignment vertical="center"/>
    </xf>
    <xf numFmtId="164" fontId="3" fillId="0" borderId="17" xfId="0" applyNumberFormat="1" applyFont="1" applyBorder="1">
      <alignment vertical="center"/>
    </xf>
    <xf numFmtId="164" fontId="1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164" fontId="11" fillId="0" borderId="0" xfId="0" applyNumberFormat="1" applyFont="1">
      <alignment vertical="center"/>
    </xf>
    <xf numFmtId="164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164" fontId="11" fillId="0" borderId="5" xfId="0" applyNumberFormat="1" applyFont="1" applyBorder="1" applyAlignment="1">
      <alignment horizontal="left"/>
    </xf>
    <xf numFmtId="164" fontId="1" fillId="0" borderId="4" xfId="0" applyNumberFormat="1" applyFont="1" applyBorder="1">
      <alignment vertical="center"/>
    </xf>
    <xf numFmtId="164" fontId="1" fillId="0" borderId="0" xfId="0" applyNumberFormat="1" applyFont="1">
      <alignment vertical="center"/>
    </xf>
    <xf numFmtId="164" fontId="11" fillId="0" borderId="5" xfId="0" applyNumberFormat="1" applyFont="1" applyBorder="1">
      <alignment vertical="center"/>
    </xf>
    <xf numFmtId="164" fontId="12" fillId="0" borderId="2" xfId="0" applyNumberFormat="1" applyFont="1" applyBorder="1" applyAlignment="1">
      <alignment horizontal="center"/>
    </xf>
    <xf numFmtId="164" fontId="12" fillId="0" borderId="9" xfId="0" applyNumberFormat="1" applyFont="1" applyBorder="1">
      <alignment vertical="center"/>
    </xf>
    <xf numFmtId="164" fontId="12" fillId="0" borderId="0" xfId="0" applyNumberFormat="1" applyFont="1">
      <alignment vertical="center"/>
    </xf>
    <xf numFmtId="164" fontId="12" fillId="0" borderId="9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1" fontId="12" fillId="0" borderId="13" xfId="0" applyNumberFormat="1" applyFont="1" applyBorder="1" applyAlignment="1">
      <alignment horizontal="center" wrapText="1"/>
    </xf>
    <xf numFmtId="164" fontId="14" fillId="0" borderId="9" xfId="0" applyNumberFormat="1" applyFont="1" applyBorder="1">
      <alignment vertical="center"/>
    </xf>
    <xf numFmtId="165" fontId="14" fillId="0" borderId="9" xfId="1" applyNumberFormat="1" applyFont="1" applyBorder="1" applyAlignment="1">
      <alignment horizontal="center"/>
    </xf>
    <xf numFmtId="165" fontId="14" fillId="0" borderId="9" xfId="1" applyNumberFormat="1" applyFont="1" applyFill="1" applyBorder="1" applyAlignment="1">
      <alignment horizontal="center"/>
    </xf>
    <xf numFmtId="164" fontId="14" fillId="0" borderId="0" xfId="0" applyNumberFormat="1" applyFont="1">
      <alignment vertical="center"/>
    </xf>
    <xf numFmtId="164" fontId="14" fillId="0" borderId="14" xfId="0" applyNumberFormat="1" applyFont="1" applyBorder="1">
      <alignment vertical="center"/>
    </xf>
    <xf numFmtId="165" fontId="14" fillId="0" borderId="14" xfId="1" applyNumberFormat="1" applyFont="1" applyBorder="1" applyAlignment="1">
      <alignment horizontal="center"/>
    </xf>
    <xf numFmtId="165" fontId="14" fillId="0" borderId="14" xfId="1" applyNumberFormat="1" applyFont="1" applyFill="1" applyBorder="1" applyAlignment="1">
      <alignment horizontal="center"/>
    </xf>
    <xf numFmtId="165" fontId="12" fillId="0" borderId="14" xfId="1" applyNumberFormat="1" applyFont="1" applyBorder="1" applyAlignment="1">
      <alignment horizontal="center" vertical="center"/>
    </xf>
    <xf numFmtId="165" fontId="12" fillId="0" borderId="14" xfId="1" applyNumberFormat="1" applyFont="1" applyFill="1" applyBorder="1" applyAlignment="1">
      <alignment horizontal="center" vertical="center"/>
    </xf>
    <xf numFmtId="165" fontId="12" fillId="0" borderId="14" xfId="1" applyNumberFormat="1" applyFont="1" applyBorder="1" applyAlignment="1">
      <alignment horizontal="right" vertical="center"/>
    </xf>
    <xf numFmtId="165" fontId="12" fillId="0" borderId="0" xfId="1" applyNumberFormat="1" applyFont="1" applyBorder="1" applyAlignment="1">
      <alignment vertical="center"/>
    </xf>
    <xf numFmtId="40" fontId="14" fillId="0" borderId="14" xfId="1" applyFont="1" applyBorder="1" applyAlignment="1">
      <alignment vertical="center"/>
    </xf>
    <xf numFmtId="40" fontId="14" fillId="0" borderId="0" xfId="1" applyFont="1" applyBorder="1" applyAlignment="1">
      <alignment vertical="center"/>
    </xf>
    <xf numFmtId="166" fontId="12" fillId="0" borderId="14" xfId="1" applyNumberFormat="1" applyFont="1" applyBorder="1" applyAlignment="1">
      <alignment horizontal="right" vertical="center"/>
    </xf>
    <xf numFmtId="166" fontId="12" fillId="0" borderId="14" xfId="1" applyNumberFormat="1" applyFont="1" applyFill="1" applyBorder="1" applyAlignment="1">
      <alignment horizontal="right" vertical="center"/>
    </xf>
    <xf numFmtId="165" fontId="12" fillId="0" borderId="7" xfId="1" applyNumberFormat="1" applyFont="1" applyBorder="1" applyAlignment="1">
      <alignment vertical="center"/>
    </xf>
    <xf numFmtId="164" fontId="12" fillId="0" borderId="7" xfId="0" applyNumberFormat="1" applyFont="1" applyBorder="1">
      <alignment vertical="center"/>
    </xf>
    <xf numFmtId="166" fontId="14" fillId="0" borderId="4" xfId="1" applyNumberFormat="1" applyFont="1" applyBorder="1" applyAlignment="1">
      <alignment horizontal="right" vertical="center"/>
    </xf>
    <xf numFmtId="166" fontId="14" fillId="0" borderId="4" xfId="1" applyNumberFormat="1" applyFont="1" applyFill="1" applyBorder="1" applyAlignment="1">
      <alignment horizontal="right" vertical="center"/>
    </xf>
    <xf numFmtId="166" fontId="14" fillId="0" borderId="14" xfId="1" applyNumberFormat="1" applyFont="1" applyBorder="1" applyAlignment="1">
      <alignment horizontal="right" vertical="center"/>
    </xf>
    <xf numFmtId="164" fontId="14" fillId="0" borderId="7" xfId="0" applyNumberFormat="1" applyFont="1" applyBorder="1">
      <alignment vertical="center"/>
    </xf>
    <xf numFmtId="164" fontId="12" fillId="0" borderId="14" xfId="0" applyNumberFormat="1" applyFont="1" applyBorder="1">
      <alignment vertical="center"/>
    </xf>
    <xf numFmtId="166" fontId="12" fillId="0" borderId="4" xfId="1" applyNumberFormat="1" applyFont="1" applyBorder="1" applyAlignment="1">
      <alignment horizontal="right" vertical="center"/>
    </xf>
    <xf numFmtId="166" fontId="12" fillId="0" borderId="4" xfId="1" applyNumberFormat="1" applyFont="1" applyFill="1" applyBorder="1" applyAlignment="1">
      <alignment horizontal="right" vertical="center"/>
    </xf>
    <xf numFmtId="164" fontId="12" fillId="3" borderId="14" xfId="0" applyNumberFormat="1" applyFont="1" applyFill="1" applyBorder="1">
      <alignment vertical="center"/>
    </xf>
    <xf numFmtId="164" fontId="14" fillId="3" borderId="14" xfId="0" applyNumberFormat="1" applyFont="1" applyFill="1" applyBorder="1">
      <alignment vertical="center"/>
    </xf>
    <xf numFmtId="0" fontId="12" fillId="4" borderId="14" xfId="2" applyFont="1" applyFill="1" applyBorder="1" applyAlignment="1">
      <alignment horizontal="left" vertical="center" wrapText="1" shrinkToFit="1"/>
    </xf>
    <xf numFmtId="164" fontId="14" fillId="3" borderId="14" xfId="0" applyNumberFormat="1" applyFont="1" applyFill="1" applyBorder="1" applyAlignment="1"/>
    <xf numFmtId="166" fontId="14" fillId="0" borderId="4" xfId="1" applyNumberFormat="1" applyFont="1" applyBorder="1" applyAlignment="1">
      <alignment horizontal="right"/>
    </xf>
    <xf numFmtId="166" fontId="14" fillId="0" borderId="4" xfId="1" applyNumberFormat="1" applyFont="1" applyFill="1" applyBorder="1" applyAlignment="1">
      <alignment horizontal="right"/>
    </xf>
    <xf numFmtId="165" fontId="12" fillId="0" borderId="14" xfId="1" applyNumberFormat="1" applyFont="1" applyBorder="1" applyAlignment="1">
      <alignment horizontal="right"/>
    </xf>
    <xf numFmtId="166" fontId="14" fillId="0" borderId="14" xfId="1" applyNumberFormat="1" applyFont="1" applyBorder="1" applyAlignment="1">
      <alignment horizontal="right"/>
    </xf>
    <xf numFmtId="164" fontId="14" fillId="0" borderId="0" xfId="0" applyNumberFormat="1" applyFont="1" applyAlignment="1"/>
    <xf numFmtId="164" fontId="12" fillId="3" borderId="14" xfId="0" applyNumberFormat="1" applyFont="1" applyFill="1" applyBorder="1" applyAlignment="1"/>
    <xf numFmtId="166" fontId="12" fillId="0" borderId="4" xfId="1" applyNumberFormat="1" applyFont="1" applyBorder="1" applyAlignment="1">
      <alignment horizontal="right"/>
    </xf>
    <xf numFmtId="166" fontId="12" fillId="0" borderId="4" xfId="1" applyNumberFormat="1" applyFont="1" applyFill="1" applyBorder="1" applyAlignment="1">
      <alignment horizontal="right"/>
    </xf>
    <xf numFmtId="166" fontId="12" fillId="0" borderId="14" xfId="1" applyNumberFormat="1" applyFont="1" applyBorder="1" applyAlignment="1">
      <alignment horizontal="right"/>
    </xf>
    <xf numFmtId="164" fontId="12" fillId="0" borderId="0" xfId="0" applyNumberFormat="1" applyFont="1" applyAlignment="1"/>
    <xf numFmtId="0" fontId="12" fillId="0" borderId="14" xfId="0" applyFont="1" applyBorder="1" applyAlignment="1"/>
    <xf numFmtId="164" fontId="12" fillId="0" borderId="7" xfId="0" applyNumberFormat="1" applyFont="1" applyBorder="1" applyAlignment="1"/>
    <xf numFmtId="164" fontId="12" fillId="0" borderId="0" xfId="0" applyNumberFormat="1" applyFont="1" applyAlignment="1">
      <alignment horizontal="left"/>
    </xf>
    <xf numFmtId="164" fontId="12" fillId="0" borderId="1" xfId="0" applyNumberFormat="1" applyFont="1" applyBorder="1">
      <alignment vertical="center"/>
    </xf>
    <xf numFmtId="164" fontId="12" fillId="0" borderId="14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165" fontId="14" fillId="0" borderId="5" xfId="1" applyNumberFormat="1" applyFont="1" applyBorder="1" applyAlignment="1">
      <alignment horizontal="center"/>
    </xf>
    <xf numFmtId="165" fontId="14" fillId="0" borderId="5" xfId="1" applyNumberFormat="1" applyFont="1" applyFill="1" applyBorder="1" applyAlignment="1">
      <alignment horizontal="center"/>
    </xf>
    <xf numFmtId="165" fontId="14" fillId="0" borderId="0" xfId="1" applyNumberFormat="1" applyFont="1" applyBorder="1" applyAlignment="1">
      <alignment horizontal="center"/>
    </xf>
    <xf numFmtId="165" fontId="14" fillId="0" borderId="14" xfId="1" applyNumberFormat="1" applyFont="1" applyBorder="1" applyAlignment="1">
      <alignment horizontal="center" vertical="center" wrapText="1"/>
    </xf>
    <xf numFmtId="168" fontId="14" fillId="0" borderId="14" xfId="1" applyNumberFormat="1" applyFont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Fill="1" applyBorder="1" applyAlignment="1">
      <alignment horizontal="center" vertical="center"/>
    </xf>
    <xf numFmtId="165" fontId="14" fillId="0" borderId="14" xfId="1" applyNumberFormat="1" applyFont="1" applyBorder="1" applyAlignment="1">
      <alignment horizontal="center" vertical="center"/>
    </xf>
    <xf numFmtId="165" fontId="14" fillId="0" borderId="0" xfId="1" applyNumberFormat="1" applyFont="1" applyBorder="1" applyAlignment="1">
      <alignment horizontal="center" vertical="center"/>
    </xf>
    <xf numFmtId="165" fontId="14" fillId="0" borderId="14" xfId="1" applyNumberFormat="1" applyFont="1" applyFill="1" applyBorder="1" applyAlignment="1">
      <alignment horizontal="center" vertical="center"/>
    </xf>
    <xf numFmtId="165" fontId="14" fillId="0" borderId="4" xfId="1" applyNumberFormat="1" applyFont="1" applyBorder="1" applyAlignment="1">
      <alignment horizontal="center" vertical="center"/>
    </xf>
    <xf numFmtId="40" fontId="14" fillId="3" borderId="14" xfId="1" applyFont="1" applyFill="1" applyBorder="1" applyAlignment="1">
      <alignment vertical="center"/>
    </xf>
    <xf numFmtId="166" fontId="14" fillId="3" borderId="14" xfId="1" applyNumberFormat="1" applyFont="1" applyFill="1" applyBorder="1" applyAlignment="1">
      <alignment horizontal="right" vertical="center" wrapText="1"/>
    </xf>
    <xf numFmtId="165" fontId="14" fillId="3" borderId="5" xfId="1" applyNumberFormat="1" applyFont="1" applyFill="1" applyBorder="1" applyAlignment="1">
      <alignment vertical="center"/>
    </xf>
    <xf numFmtId="165" fontId="14" fillId="3" borderId="0" xfId="1" applyNumberFormat="1" applyFont="1" applyFill="1" applyBorder="1" applyAlignment="1">
      <alignment vertical="center"/>
    </xf>
    <xf numFmtId="165" fontId="14" fillId="3" borderId="14" xfId="1" applyNumberFormat="1" applyFont="1" applyFill="1" applyBorder="1" applyAlignment="1">
      <alignment vertical="center"/>
    </xf>
    <xf numFmtId="165" fontId="14" fillId="3" borderId="4" xfId="1" applyNumberFormat="1" applyFont="1" applyFill="1" applyBorder="1" applyAlignment="1">
      <alignment vertical="center"/>
    </xf>
    <xf numFmtId="40" fontId="14" fillId="0" borderId="0" xfId="1" applyFont="1" applyFill="1" applyBorder="1" applyAlignment="1">
      <alignment vertical="center"/>
    </xf>
    <xf numFmtId="166" fontId="14" fillId="3" borderId="14" xfId="0" applyNumberFormat="1" applyFont="1" applyFill="1" applyBorder="1" applyAlignment="1">
      <alignment horizontal="right" vertical="center" wrapText="1"/>
    </xf>
    <xf numFmtId="164" fontId="14" fillId="3" borderId="5" xfId="0" applyNumberFormat="1" applyFont="1" applyFill="1" applyBorder="1">
      <alignment vertical="center"/>
    </xf>
    <xf numFmtId="164" fontId="14" fillId="3" borderId="0" xfId="0" applyNumberFormat="1" applyFont="1" applyFill="1">
      <alignment vertical="center"/>
    </xf>
    <xf numFmtId="164" fontId="14" fillId="3" borderId="4" xfId="0" applyNumberFormat="1" applyFont="1" applyFill="1" applyBorder="1">
      <alignment vertical="center"/>
    </xf>
    <xf numFmtId="166" fontId="14" fillId="3" borderId="14" xfId="1" applyNumberFormat="1" applyFont="1" applyFill="1" applyBorder="1" applyAlignment="1">
      <alignment horizontal="right" vertical="center"/>
    </xf>
    <xf numFmtId="166" fontId="14" fillId="3" borderId="14" xfId="0" applyNumberFormat="1" applyFont="1" applyFill="1" applyBorder="1" applyAlignment="1">
      <alignment horizontal="right" vertical="center"/>
    </xf>
    <xf numFmtId="166" fontId="14" fillId="0" borderId="14" xfId="1" applyNumberFormat="1" applyFont="1" applyFill="1" applyBorder="1" applyAlignment="1">
      <alignment horizontal="right" vertical="center"/>
    </xf>
    <xf numFmtId="165" fontId="14" fillId="0" borderId="14" xfId="1" applyNumberFormat="1" applyFont="1" applyBorder="1" applyAlignment="1">
      <alignment vertical="center"/>
    </xf>
    <xf numFmtId="166" fontId="12" fillId="0" borderId="14" xfId="1" applyNumberFormat="1" applyFont="1" applyFill="1" applyBorder="1" applyAlignment="1">
      <alignment horizontal="right"/>
    </xf>
    <xf numFmtId="164" fontId="12" fillId="0" borderId="14" xfId="0" applyNumberFormat="1" applyFont="1" applyBorder="1" applyAlignment="1"/>
    <xf numFmtId="164" fontId="14" fillId="0" borderId="7" xfId="0" applyNumberFormat="1" applyFont="1" applyBorder="1" applyAlignment="1"/>
    <xf numFmtId="165" fontId="14" fillId="0" borderId="0" xfId="1" applyNumberFormat="1" applyFont="1" applyFill="1" applyBorder="1"/>
    <xf numFmtId="165" fontId="14" fillId="0" borderId="0" xfId="1" applyNumberFormat="1" applyFont="1" applyBorder="1"/>
    <xf numFmtId="0" fontId="14" fillId="0" borderId="14" xfId="0" applyFont="1" applyBorder="1" applyAlignment="1"/>
    <xf numFmtId="165" fontId="14" fillId="0" borderId="14" xfId="1" applyNumberFormat="1" applyFont="1" applyBorder="1" applyAlignment="1">
      <alignment horizontal="right"/>
    </xf>
    <xf numFmtId="166" fontId="14" fillId="0" borderId="14" xfId="1" applyNumberFormat="1" applyFont="1" applyFill="1" applyBorder="1" applyAlignment="1">
      <alignment horizontal="right"/>
    </xf>
    <xf numFmtId="164" fontId="14" fillId="0" borderId="14" xfId="0" applyNumberFormat="1" applyFont="1" applyBorder="1" applyAlignment="1"/>
    <xf numFmtId="0" fontId="12" fillId="0" borderId="0" xfId="0" applyFont="1" applyAlignment="1"/>
    <xf numFmtId="166" fontId="12" fillId="0" borderId="0" xfId="1" applyNumberFormat="1" applyFont="1" applyBorder="1" applyAlignment="1">
      <alignment horizontal="right"/>
    </xf>
    <xf numFmtId="166" fontId="12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/>
    <xf numFmtId="167" fontId="10" fillId="0" borderId="0" xfId="1" applyNumberFormat="1" applyFont="1" applyFill="1" applyBorder="1" applyAlignment="1"/>
    <xf numFmtId="164" fontId="10" fillId="0" borderId="0" xfId="0" quotePrefix="1" applyNumberFormat="1" applyFont="1" applyAlignment="1">
      <alignment horizontal="center"/>
    </xf>
    <xf numFmtId="164" fontId="10" fillId="0" borderId="0" xfId="1" applyNumberFormat="1" applyFont="1" applyFill="1" applyBorder="1" applyAlignment="1"/>
    <xf numFmtId="164" fontId="6" fillId="2" borderId="15" xfId="0" applyNumberFormat="1" applyFont="1" applyFill="1" applyBorder="1" applyAlignment="1">
      <alignment horizontal="center" wrapText="1"/>
    </xf>
    <xf numFmtId="164" fontId="6" fillId="2" borderId="1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 wrapText="1"/>
    </xf>
    <xf numFmtId="164" fontId="6" fillId="2" borderId="10" xfId="0" applyNumberFormat="1" applyFont="1" applyFill="1" applyBorder="1" applyAlignment="1">
      <alignment horizontal="center" wrapText="1"/>
    </xf>
    <xf numFmtId="164" fontId="6" fillId="2" borderId="14" xfId="0" applyNumberFormat="1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left" vertical="center" indent="1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12" fillId="0" borderId="9" xfId="0" applyNumberFormat="1" applyFont="1" applyBorder="1" applyAlignment="1">
      <alignment horizontal="left" vertical="center"/>
    </xf>
    <xf numFmtId="164" fontId="12" fillId="0" borderId="14" xfId="0" applyNumberFormat="1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164" fontId="12" fillId="0" borderId="11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 wrapText="1"/>
    </xf>
    <xf numFmtId="164" fontId="12" fillId="0" borderId="5" xfId="0" applyNumberFormat="1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0" fillId="0" borderId="0" xfId="0" applyNumberFormat="1" applyFont="1" applyBorder="1" applyAlignment="1"/>
    <xf numFmtId="164" fontId="10" fillId="0" borderId="0" xfId="0" quotePrefix="1" applyNumberFormat="1" applyFont="1" applyBorder="1" applyAlignment="1">
      <alignment horizontal="center"/>
    </xf>
    <xf numFmtId="0" fontId="12" fillId="0" borderId="0" xfId="0" applyFont="1" applyBorder="1" applyAlignment="1"/>
    <xf numFmtId="165" fontId="12" fillId="0" borderId="0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M738"/>
  <sheetViews>
    <sheetView zoomScaleSheetLayoutView="110" workbookViewId="0">
      <pane xSplit="3" ySplit="7" topLeftCell="D47" activePane="bottomRight" state="frozen"/>
      <selection activeCell="I76" sqref="I76"/>
      <selection pane="topRight" activeCell="I76" sqref="I76"/>
      <selection pane="bottomLeft" activeCell="I76" sqref="I76"/>
      <selection pane="bottomRight" activeCell="E85" sqref="E85"/>
    </sheetView>
  </sheetViews>
  <sheetFormatPr defaultRowHeight="12"/>
  <cols>
    <col min="1" max="1" width="14.33203125" style="4" customWidth="1"/>
    <col min="2" max="2" width="16.33203125" style="59" bestFit="1" customWidth="1"/>
    <col min="3" max="3" width="15.6640625" style="59" bestFit="1" customWidth="1"/>
    <col min="4" max="4" width="14.83203125" style="60" bestFit="1" customWidth="1"/>
    <col min="5" max="5" width="9.83203125" style="4" bestFit="1" customWidth="1"/>
    <col min="6" max="6" width="10" style="4" bestFit="1" customWidth="1"/>
    <col min="7" max="7" width="6.1640625" style="4" bestFit="1" customWidth="1"/>
    <col min="8" max="8" width="12.1640625" style="4" bestFit="1" customWidth="1"/>
    <col min="9" max="9" width="8.5" style="4" bestFit="1" customWidth="1"/>
    <col min="10" max="10" width="8.83203125" style="4" bestFit="1" customWidth="1"/>
    <col min="11" max="11" width="17.83203125" style="4" customWidth="1"/>
    <col min="12" max="12" width="14" style="4" bestFit="1" customWidth="1"/>
    <col min="13" max="13" width="15" style="4" bestFit="1" customWidth="1"/>
    <col min="14" max="14" width="25.5" style="4" bestFit="1" customWidth="1"/>
    <col min="15" max="15" width="15.6640625" style="4" bestFit="1" customWidth="1"/>
    <col min="16" max="16" width="11.1640625" style="4" bestFit="1" customWidth="1"/>
    <col min="17" max="17" width="8.83203125" style="4" bestFit="1" customWidth="1"/>
    <col min="18" max="18" width="9.83203125" style="4" bestFit="1" customWidth="1"/>
    <col min="19" max="19" width="23" style="4" bestFit="1" customWidth="1"/>
    <col min="20" max="20" width="14.6640625" style="4" bestFit="1" customWidth="1"/>
    <col min="21" max="21" width="8" style="4" bestFit="1" customWidth="1"/>
    <col min="22" max="22" width="15.1640625" style="4" bestFit="1" customWidth="1"/>
    <col min="23" max="23" width="9.83203125" style="4" bestFit="1" customWidth="1"/>
    <col min="24" max="24" width="14.33203125" style="4" bestFit="1" customWidth="1"/>
    <col min="25" max="25" width="12.33203125" style="4" bestFit="1" customWidth="1"/>
    <col min="26" max="26" width="13.5" style="4" bestFit="1" customWidth="1"/>
    <col min="27" max="16384" width="9.33203125" style="4"/>
  </cols>
  <sheetData>
    <row r="1" spans="1:26" ht="12.75">
      <c r="A1" s="1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ht="15.7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</row>
    <row r="3" spans="1:26" ht="12.75">
      <c r="A3" s="8" t="s">
        <v>0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</row>
    <row r="4" spans="1:26">
      <c r="A4" s="187" t="s">
        <v>1</v>
      </c>
      <c r="B4" s="190" t="s">
        <v>2</v>
      </c>
      <c r="C4" s="191"/>
      <c r="D4" s="191"/>
      <c r="E4" s="192"/>
      <c r="F4" s="12"/>
      <c r="G4" s="174" t="s">
        <v>6</v>
      </c>
      <c r="H4" s="175"/>
      <c r="I4" s="175"/>
      <c r="J4" s="176"/>
      <c r="K4" s="12"/>
      <c r="L4" s="12"/>
      <c r="M4" s="183" t="s">
        <v>3</v>
      </c>
      <c r="N4" s="180" t="s">
        <v>4</v>
      </c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2"/>
    </row>
    <row r="5" spans="1:26">
      <c r="A5" s="188"/>
      <c r="B5" s="177"/>
      <c r="C5" s="178"/>
      <c r="D5" s="178"/>
      <c r="E5" s="179"/>
      <c r="F5" s="173" t="s">
        <v>5</v>
      </c>
      <c r="G5" s="177"/>
      <c r="H5" s="178"/>
      <c r="I5" s="178"/>
      <c r="J5" s="179"/>
      <c r="K5" s="172" t="s">
        <v>7</v>
      </c>
      <c r="L5" s="172" t="s">
        <v>8</v>
      </c>
      <c r="M5" s="185"/>
      <c r="N5" s="173" t="s">
        <v>9</v>
      </c>
      <c r="O5" s="173"/>
      <c r="P5" s="173"/>
      <c r="Q5" s="173"/>
      <c r="R5" s="173"/>
      <c r="S5" s="173" t="s">
        <v>10</v>
      </c>
      <c r="T5" s="173"/>
      <c r="U5" s="173"/>
      <c r="V5" s="173"/>
      <c r="W5" s="173"/>
      <c r="X5" s="183" t="s">
        <v>11</v>
      </c>
      <c r="Y5" s="183" t="s">
        <v>12</v>
      </c>
      <c r="Z5" s="183" t="s">
        <v>13</v>
      </c>
    </row>
    <row r="6" spans="1:26">
      <c r="A6" s="188"/>
      <c r="B6" s="183" t="s">
        <v>14</v>
      </c>
      <c r="C6" s="183" t="s">
        <v>15</v>
      </c>
      <c r="D6" s="183" t="s">
        <v>16</v>
      </c>
      <c r="E6" s="173" t="s">
        <v>17</v>
      </c>
      <c r="F6" s="173"/>
      <c r="G6" s="173" t="s">
        <v>18</v>
      </c>
      <c r="H6" s="13" t="s">
        <v>19</v>
      </c>
      <c r="I6" s="173" t="s">
        <v>20</v>
      </c>
      <c r="J6" s="173" t="s">
        <v>17</v>
      </c>
      <c r="K6" s="172"/>
      <c r="L6" s="172"/>
      <c r="M6" s="185"/>
      <c r="N6" s="183" t="s">
        <v>21</v>
      </c>
      <c r="O6" s="183" t="s">
        <v>22</v>
      </c>
      <c r="P6" s="173" t="s">
        <v>23</v>
      </c>
      <c r="Q6" s="173" t="s">
        <v>24</v>
      </c>
      <c r="R6" s="173" t="s">
        <v>17</v>
      </c>
      <c r="S6" s="183" t="s">
        <v>25</v>
      </c>
      <c r="T6" s="183" t="s">
        <v>26</v>
      </c>
      <c r="U6" s="173" t="s">
        <v>27</v>
      </c>
      <c r="V6" s="183" t="s">
        <v>28</v>
      </c>
      <c r="W6" s="173" t="s">
        <v>17</v>
      </c>
      <c r="X6" s="185"/>
      <c r="Y6" s="185"/>
      <c r="Z6" s="185"/>
    </row>
    <row r="7" spans="1:26">
      <c r="A7" s="188"/>
      <c r="B7" s="184"/>
      <c r="C7" s="184"/>
      <c r="D7" s="184"/>
      <c r="E7" s="173"/>
      <c r="F7" s="173"/>
      <c r="G7" s="173"/>
      <c r="H7" s="13" t="s">
        <v>29</v>
      </c>
      <c r="I7" s="173"/>
      <c r="J7" s="173"/>
      <c r="K7" s="172"/>
      <c r="L7" s="172"/>
      <c r="M7" s="184"/>
      <c r="N7" s="184"/>
      <c r="O7" s="184"/>
      <c r="P7" s="173"/>
      <c r="Q7" s="173"/>
      <c r="R7" s="173"/>
      <c r="S7" s="184"/>
      <c r="T7" s="184"/>
      <c r="U7" s="173"/>
      <c r="V7" s="184"/>
      <c r="W7" s="173"/>
      <c r="X7" s="184"/>
      <c r="Y7" s="184"/>
      <c r="Z7" s="184"/>
    </row>
    <row r="8" spans="1:26">
      <c r="A8" s="189"/>
      <c r="B8" s="14">
        <v>1</v>
      </c>
      <c r="C8" s="14">
        <v>1</v>
      </c>
      <c r="D8" s="14">
        <v>2</v>
      </c>
      <c r="E8" s="15">
        <v>3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6">
        <v>10</v>
      </c>
      <c r="L8" s="16">
        <v>11</v>
      </c>
      <c r="M8" s="17">
        <v>4</v>
      </c>
      <c r="N8" s="14">
        <v>5</v>
      </c>
      <c r="O8" s="14">
        <v>6</v>
      </c>
      <c r="P8" s="14">
        <v>7</v>
      </c>
      <c r="Q8" s="14">
        <v>15</v>
      </c>
      <c r="R8" s="15">
        <v>8</v>
      </c>
      <c r="S8" s="14">
        <v>9</v>
      </c>
      <c r="T8" s="14">
        <v>10</v>
      </c>
      <c r="U8" s="14">
        <v>11</v>
      </c>
      <c r="V8" s="14">
        <v>12</v>
      </c>
      <c r="W8" s="15">
        <v>13</v>
      </c>
      <c r="X8" s="14">
        <v>14</v>
      </c>
      <c r="Y8" s="14">
        <v>15</v>
      </c>
      <c r="Z8" s="14">
        <v>16</v>
      </c>
    </row>
    <row r="9" spans="1:26" s="22" customFormat="1">
      <c r="A9" s="18" t="s">
        <v>30</v>
      </c>
      <c r="B9" s="19">
        <v>93.7</v>
      </c>
      <c r="C9" s="19"/>
      <c r="D9" s="19"/>
      <c r="E9" s="20"/>
      <c r="F9" s="19">
        <v>195.7</v>
      </c>
      <c r="G9" s="19">
        <v>0</v>
      </c>
      <c r="H9" s="19">
        <v>0.7</v>
      </c>
      <c r="I9" s="19">
        <v>0</v>
      </c>
      <c r="J9" s="19">
        <v>0.7</v>
      </c>
      <c r="K9" s="19">
        <v>119.4</v>
      </c>
      <c r="L9" s="21">
        <v>315.8</v>
      </c>
      <c r="M9" s="21"/>
      <c r="N9" s="19"/>
      <c r="O9" s="19"/>
      <c r="P9" s="19"/>
      <c r="Q9" s="19">
        <v>0</v>
      </c>
      <c r="R9" s="20"/>
      <c r="S9" s="19"/>
      <c r="T9" s="19"/>
      <c r="U9" s="19"/>
      <c r="V9" s="19"/>
      <c r="W9" s="19"/>
      <c r="X9" s="19"/>
      <c r="Y9" s="19"/>
      <c r="Z9" s="19"/>
    </row>
    <row r="10" spans="1:26" s="22" customFormat="1">
      <c r="A10" s="18" t="s">
        <v>31</v>
      </c>
      <c r="B10" s="19">
        <v>232.2</v>
      </c>
      <c r="C10" s="19"/>
      <c r="D10" s="19"/>
      <c r="E10" s="20"/>
      <c r="F10" s="19">
        <v>647.70000000000005</v>
      </c>
      <c r="G10" s="19">
        <v>0</v>
      </c>
      <c r="H10" s="19">
        <v>4.4000000000000004</v>
      </c>
      <c r="I10" s="19">
        <v>0</v>
      </c>
      <c r="J10" s="19">
        <v>4.4000000000000004</v>
      </c>
      <c r="K10" s="19">
        <v>205.7</v>
      </c>
      <c r="L10" s="21">
        <v>857.8</v>
      </c>
      <c r="M10" s="21"/>
      <c r="N10" s="19"/>
      <c r="O10" s="19"/>
      <c r="P10" s="19"/>
      <c r="Q10" s="19">
        <v>26.3</v>
      </c>
      <c r="R10" s="20"/>
      <c r="S10" s="19"/>
      <c r="T10" s="19"/>
      <c r="U10" s="19"/>
      <c r="V10" s="19"/>
      <c r="W10" s="19"/>
      <c r="X10" s="19"/>
      <c r="Y10" s="19"/>
      <c r="Z10" s="19"/>
    </row>
    <row r="11" spans="1:26" s="22" customFormat="1">
      <c r="A11" s="18" t="s">
        <v>32</v>
      </c>
      <c r="B11" s="19">
        <v>485.2</v>
      </c>
      <c r="C11" s="19"/>
      <c r="D11" s="19"/>
      <c r="E11" s="20"/>
      <c r="F11" s="19">
        <v>1730.6</v>
      </c>
      <c r="G11" s="19">
        <v>0</v>
      </c>
      <c r="H11" s="19">
        <v>48.3</v>
      </c>
      <c r="I11" s="19">
        <v>0</v>
      </c>
      <c r="J11" s="19">
        <v>48.3</v>
      </c>
      <c r="K11" s="19">
        <v>226.6</v>
      </c>
      <c r="L11" s="21">
        <v>2005.5</v>
      </c>
      <c r="M11" s="21"/>
      <c r="N11" s="19"/>
      <c r="O11" s="19"/>
      <c r="P11" s="19"/>
      <c r="Q11" s="19">
        <v>54.5</v>
      </c>
      <c r="R11" s="20"/>
      <c r="S11" s="19"/>
      <c r="T11" s="19"/>
      <c r="U11" s="19"/>
      <c r="V11" s="19"/>
      <c r="W11" s="19"/>
      <c r="X11" s="19"/>
      <c r="Y11" s="19"/>
      <c r="Z11" s="19"/>
    </row>
    <row r="12" spans="1:26" s="22" customFormat="1">
      <c r="A12" s="18" t="s">
        <v>33</v>
      </c>
      <c r="B12" s="19">
        <v>635.6</v>
      </c>
      <c r="C12" s="19"/>
      <c r="D12" s="19"/>
      <c r="E12" s="20"/>
      <c r="F12" s="19">
        <v>3700.4</v>
      </c>
      <c r="G12" s="19">
        <v>0</v>
      </c>
      <c r="H12" s="19">
        <v>239.9</v>
      </c>
      <c r="I12" s="19">
        <v>5.2</v>
      </c>
      <c r="J12" s="19">
        <v>245.1</v>
      </c>
      <c r="K12" s="19">
        <v>498.8</v>
      </c>
      <c r="L12" s="21">
        <v>4444.3</v>
      </c>
      <c r="M12" s="21"/>
      <c r="N12" s="19"/>
      <c r="O12" s="19"/>
      <c r="P12" s="19"/>
      <c r="Q12" s="19">
        <v>185</v>
      </c>
      <c r="R12" s="20"/>
      <c r="S12" s="19"/>
      <c r="T12" s="19"/>
      <c r="U12" s="19"/>
      <c r="V12" s="19"/>
      <c r="W12" s="19"/>
      <c r="X12" s="19"/>
      <c r="Y12" s="19"/>
      <c r="Z12" s="19"/>
    </row>
    <row r="13" spans="1:26" s="22" customFormat="1">
      <c r="A13" s="18" t="s">
        <v>34</v>
      </c>
      <c r="B13" s="19">
        <v>732.8</v>
      </c>
      <c r="C13" s="19"/>
      <c r="D13" s="19"/>
      <c r="E13" s="20"/>
      <c r="F13" s="19">
        <v>6387</v>
      </c>
      <c r="G13" s="19">
        <v>0</v>
      </c>
      <c r="H13" s="19">
        <v>122.1</v>
      </c>
      <c r="I13" s="19">
        <v>0</v>
      </c>
      <c r="J13" s="19">
        <v>122.1</v>
      </c>
      <c r="K13" s="19">
        <v>915.9</v>
      </c>
      <c r="L13" s="21">
        <v>7425</v>
      </c>
      <c r="M13" s="21"/>
      <c r="N13" s="19"/>
      <c r="O13" s="19"/>
      <c r="P13" s="19"/>
      <c r="Q13" s="19">
        <v>310.3</v>
      </c>
      <c r="R13" s="20"/>
      <c r="S13" s="19"/>
      <c r="T13" s="19"/>
      <c r="U13" s="19"/>
      <c r="V13" s="19"/>
      <c r="W13" s="19"/>
      <c r="X13" s="19"/>
      <c r="Y13" s="19"/>
      <c r="Z13" s="19"/>
    </row>
    <row r="14" spans="1:26" s="22" customFormat="1">
      <c r="A14" s="18" t="s">
        <v>35</v>
      </c>
      <c r="B14" s="19">
        <v>837.7</v>
      </c>
      <c r="C14" s="19"/>
      <c r="D14" s="19"/>
      <c r="E14" s="20"/>
      <c r="F14" s="19">
        <v>8036.6</v>
      </c>
      <c r="G14" s="19">
        <v>0</v>
      </c>
      <c r="H14" s="19">
        <v>82.8</v>
      </c>
      <c r="I14" s="19">
        <v>0</v>
      </c>
      <c r="J14" s="19">
        <v>82.8</v>
      </c>
      <c r="K14" s="19">
        <v>1552.8</v>
      </c>
      <c r="L14" s="21">
        <v>9672.2000000000007</v>
      </c>
      <c r="M14" s="21"/>
      <c r="N14" s="19"/>
      <c r="O14" s="19"/>
      <c r="P14" s="19"/>
      <c r="Q14" s="19">
        <v>260.10000000000002</v>
      </c>
      <c r="R14" s="20"/>
      <c r="S14" s="19"/>
      <c r="T14" s="19"/>
      <c r="U14" s="19"/>
      <c r="V14" s="19"/>
      <c r="W14" s="19"/>
      <c r="X14" s="19"/>
      <c r="Y14" s="19"/>
      <c r="Z14" s="19"/>
    </row>
    <row r="15" spans="1:26" s="22" customFormat="1">
      <c r="A15" s="18" t="s">
        <v>36</v>
      </c>
      <c r="B15" s="19">
        <v>945.1</v>
      </c>
      <c r="C15" s="19"/>
      <c r="D15" s="19"/>
      <c r="E15" s="20"/>
      <c r="F15" s="19">
        <v>9748.6</v>
      </c>
      <c r="G15" s="19">
        <v>0</v>
      </c>
      <c r="H15" s="19">
        <v>175.9</v>
      </c>
      <c r="I15" s="19">
        <v>0</v>
      </c>
      <c r="J15" s="19">
        <v>175.9</v>
      </c>
      <c r="K15" s="19">
        <v>1678.4</v>
      </c>
      <c r="L15" s="21">
        <v>11602.9</v>
      </c>
      <c r="M15" s="21"/>
      <c r="N15" s="19"/>
      <c r="O15" s="19"/>
      <c r="P15" s="19"/>
      <c r="Q15" s="19">
        <v>235.3</v>
      </c>
      <c r="R15" s="20"/>
      <c r="S15" s="19"/>
      <c r="T15" s="19"/>
      <c r="U15" s="19"/>
      <c r="V15" s="19"/>
      <c r="W15" s="19"/>
      <c r="X15" s="19"/>
      <c r="Y15" s="19"/>
      <c r="Z15" s="19"/>
    </row>
    <row r="16" spans="1:26" s="25" customFormat="1" ht="9">
      <c r="A16" s="23" t="s">
        <v>37</v>
      </c>
      <c r="B16" s="24">
        <v>1220.5999999999999</v>
      </c>
      <c r="C16" s="24">
        <v>23709.64</v>
      </c>
      <c r="D16" s="24">
        <v>2070.87</v>
      </c>
      <c r="E16" s="24">
        <v>25780.51</v>
      </c>
      <c r="F16" s="24">
        <v>11654</v>
      </c>
      <c r="G16" s="24">
        <v>0</v>
      </c>
      <c r="H16" s="24">
        <v>215</v>
      </c>
      <c r="I16" s="24">
        <v>0</v>
      </c>
      <c r="J16" s="24">
        <v>215</v>
      </c>
      <c r="K16" s="24">
        <v>2060.1999999999998</v>
      </c>
      <c r="L16" s="24">
        <v>40144.199999999997</v>
      </c>
      <c r="M16" s="24">
        <v>25780.51</v>
      </c>
      <c r="N16" s="24">
        <v>2881.3</v>
      </c>
      <c r="O16" s="24">
        <v>3578.92</v>
      </c>
      <c r="P16" s="24">
        <v>267.89999999999998</v>
      </c>
      <c r="Q16" s="24">
        <v>277.8</v>
      </c>
      <c r="R16" s="24">
        <v>6728.12</v>
      </c>
      <c r="S16" s="24">
        <v>2949.14</v>
      </c>
      <c r="T16" s="24">
        <v>10.199999999999999</v>
      </c>
      <c r="U16" s="24">
        <v>130.31</v>
      </c>
      <c r="V16" s="24">
        <v>14880.03</v>
      </c>
      <c r="W16" s="24">
        <v>17969.68</v>
      </c>
      <c r="X16" s="24">
        <v>278</v>
      </c>
      <c r="Y16" s="24">
        <v>804.7</v>
      </c>
      <c r="Z16" s="24"/>
    </row>
    <row r="17" spans="1:247" s="25" customFormat="1" ht="9">
      <c r="A17" s="26" t="s">
        <v>38</v>
      </c>
      <c r="B17" s="27">
        <v>1522.6</v>
      </c>
      <c r="C17" s="27">
        <v>27348.54</v>
      </c>
      <c r="D17" s="27">
        <v>2271.9499999999998</v>
      </c>
      <c r="E17" s="27">
        <v>29620.49</v>
      </c>
      <c r="F17" s="27">
        <v>13453.9</v>
      </c>
      <c r="G17" s="27">
        <v>0</v>
      </c>
      <c r="H17" s="27">
        <v>244.8</v>
      </c>
      <c r="I17" s="27">
        <v>0</v>
      </c>
      <c r="J17" s="27">
        <v>244.8</v>
      </c>
      <c r="K17" s="27">
        <v>2479.1</v>
      </c>
      <c r="L17" s="27">
        <v>46485.8</v>
      </c>
      <c r="M17" s="27">
        <v>29620.49</v>
      </c>
      <c r="N17" s="27">
        <v>3605.59</v>
      </c>
      <c r="O17" s="27">
        <v>5914.83</v>
      </c>
      <c r="P17" s="27">
        <v>274.18</v>
      </c>
      <c r="Q17" s="27">
        <v>363.6</v>
      </c>
      <c r="R17" s="27">
        <v>9794.6</v>
      </c>
      <c r="S17" s="27">
        <v>3439.14</v>
      </c>
      <c r="T17" s="27">
        <v>5.9</v>
      </c>
      <c r="U17" s="27">
        <v>231.14</v>
      </c>
      <c r="V17" s="27">
        <v>14916.53</v>
      </c>
      <c r="W17" s="27">
        <v>18592.71</v>
      </c>
      <c r="X17" s="27">
        <v>352.68</v>
      </c>
      <c r="Y17" s="27">
        <v>880.48</v>
      </c>
      <c r="Z17" s="27"/>
    </row>
    <row r="18" spans="1:247" s="25" customFormat="1" ht="9">
      <c r="A18" s="26" t="s">
        <v>39</v>
      </c>
      <c r="B18" s="27">
        <v>1947.4</v>
      </c>
      <c r="C18" s="27">
        <v>32283.119999999999</v>
      </c>
      <c r="D18" s="27">
        <v>2277.69</v>
      </c>
      <c r="E18" s="27">
        <v>34560.81</v>
      </c>
      <c r="F18" s="27">
        <v>16510.3</v>
      </c>
      <c r="G18" s="27">
        <v>13.9</v>
      </c>
      <c r="H18" s="27">
        <v>120.4</v>
      </c>
      <c r="I18" s="27">
        <v>0</v>
      </c>
      <c r="J18" s="27">
        <v>134.30000000000001</v>
      </c>
      <c r="K18" s="27" t="s">
        <v>40</v>
      </c>
      <c r="L18" s="27" t="e">
        <v>#VALUE!</v>
      </c>
      <c r="M18" s="27">
        <v>34560.81</v>
      </c>
      <c r="N18" s="27">
        <v>3622.78</v>
      </c>
      <c r="O18" s="27">
        <v>10202.879999999999</v>
      </c>
      <c r="P18" s="27">
        <v>270.75</v>
      </c>
      <c r="Q18" s="27">
        <v>148.80000000000001</v>
      </c>
      <c r="R18" s="27">
        <v>14096.41</v>
      </c>
      <c r="S18" s="27">
        <v>3914.14</v>
      </c>
      <c r="T18" s="27">
        <v>0.73</v>
      </c>
      <c r="U18" s="27">
        <v>231.14</v>
      </c>
      <c r="V18" s="27">
        <v>15256.46</v>
      </c>
      <c r="W18" s="27">
        <v>19402.47</v>
      </c>
      <c r="X18" s="27">
        <v>396.68</v>
      </c>
      <c r="Y18" s="27">
        <v>665.2</v>
      </c>
      <c r="Z18" s="27"/>
    </row>
    <row r="19" spans="1:247" s="30" customFormat="1" ht="9">
      <c r="A19" s="28" t="s">
        <v>41</v>
      </c>
      <c r="B19" s="29">
        <v>2149.8000000000002</v>
      </c>
      <c r="C19" s="27">
        <v>37401.99</v>
      </c>
      <c r="D19" s="27">
        <v>2481.15</v>
      </c>
      <c r="E19" s="27">
        <v>39883.14</v>
      </c>
      <c r="F19" s="29">
        <v>19473.7</v>
      </c>
      <c r="G19" s="29">
        <v>0</v>
      </c>
      <c r="H19" s="29">
        <v>1312.9</v>
      </c>
      <c r="I19" s="29"/>
      <c r="J19" s="29">
        <v>1312.9</v>
      </c>
      <c r="K19" s="29">
        <v>3893.5</v>
      </c>
      <c r="L19" s="29">
        <v>64563.1</v>
      </c>
      <c r="M19" s="29">
        <v>39883.14</v>
      </c>
      <c r="N19" s="27">
        <v>3361.03</v>
      </c>
      <c r="O19" s="27">
        <v>13939.43</v>
      </c>
      <c r="P19" s="27">
        <v>342.2</v>
      </c>
      <c r="Q19" s="29">
        <v>287.89999999999998</v>
      </c>
      <c r="R19" s="27">
        <v>17642.66</v>
      </c>
      <c r="S19" s="27">
        <v>5198.6000000000004</v>
      </c>
      <c r="T19" s="27">
        <v>11.27</v>
      </c>
      <c r="U19" s="27">
        <v>255.14</v>
      </c>
      <c r="V19" s="29">
        <v>16096.45</v>
      </c>
      <c r="W19" s="27">
        <v>21561.46</v>
      </c>
      <c r="X19" s="29">
        <v>467.61</v>
      </c>
      <c r="Y19" s="27">
        <v>211.46</v>
      </c>
      <c r="Z19" s="27"/>
    </row>
    <row r="20" spans="1:247" s="25" customFormat="1" ht="9">
      <c r="A20" s="26" t="s">
        <v>42</v>
      </c>
      <c r="B20" s="26">
        <v>2411.6</v>
      </c>
      <c r="C20" s="27">
        <v>42510.66</v>
      </c>
      <c r="D20" s="27">
        <v>2619.7800000000002</v>
      </c>
      <c r="E20" s="27">
        <v>45130.44</v>
      </c>
      <c r="F20" s="31">
        <v>22338.1</v>
      </c>
      <c r="G20" s="31">
        <v>0</v>
      </c>
      <c r="H20" s="31">
        <v>990.8</v>
      </c>
      <c r="I20" s="31">
        <v>0</v>
      </c>
      <c r="J20" s="29">
        <v>990.8</v>
      </c>
      <c r="K20" s="31">
        <v>2939.5</v>
      </c>
      <c r="L20" s="29">
        <v>71399.399999999994</v>
      </c>
      <c r="M20" s="27">
        <v>45130.44</v>
      </c>
      <c r="N20" s="27">
        <v>5272.75</v>
      </c>
      <c r="O20" s="27">
        <v>17742.509999999998</v>
      </c>
      <c r="P20" s="27">
        <v>350.89</v>
      </c>
      <c r="Q20" s="31">
        <v>247.2</v>
      </c>
      <c r="R20" s="27">
        <v>23366.15</v>
      </c>
      <c r="S20" s="27">
        <v>5088.6000000000004</v>
      </c>
      <c r="T20" s="27">
        <v>6.5</v>
      </c>
      <c r="U20" s="27">
        <v>310.66000000000003</v>
      </c>
      <c r="V20" s="31">
        <v>15630</v>
      </c>
      <c r="W20" s="27">
        <v>21035.759999999998</v>
      </c>
      <c r="X20" s="29">
        <v>815.37</v>
      </c>
      <c r="Y20" s="27">
        <v>-86.83</v>
      </c>
      <c r="Z20" s="27"/>
    </row>
    <row r="21" spans="1:247" s="25" customFormat="1" ht="9">
      <c r="A21" s="26" t="s">
        <v>43</v>
      </c>
      <c r="B21" s="26">
        <v>3349.1</v>
      </c>
      <c r="C21" s="27">
        <v>48144.94</v>
      </c>
      <c r="D21" s="27">
        <v>2941.22</v>
      </c>
      <c r="E21" s="27">
        <v>51086.16</v>
      </c>
      <c r="F21" s="31">
        <v>27316.2</v>
      </c>
      <c r="G21" s="31">
        <v>0</v>
      </c>
      <c r="H21" s="31">
        <v>995</v>
      </c>
      <c r="I21" s="31">
        <v>159.80000000000001</v>
      </c>
      <c r="J21" s="29">
        <v>1154.8</v>
      </c>
      <c r="K21" s="31">
        <v>-40686.800000000003</v>
      </c>
      <c r="L21" s="29">
        <v>38841.199999999997</v>
      </c>
      <c r="M21" s="27">
        <v>51086.16</v>
      </c>
      <c r="N21" s="27">
        <v>4980.63</v>
      </c>
      <c r="O21" s="27">
        <v>21418.12</v>
      </c>
      <c r="P21" s="27">
        <v>402.1</v>
      </c>
      <c r="Q21" s="31"/>
      <c r="R21" s="27">
        <v>26800.85</v>
      </c>
      <c r="S21" s="27">
        <v>4228.6000000000004</v>
      </c>
      <c r="T21" s="27">
        <v>5.5</v>
      </c>
      <c r="U21" s="27">
        <v>390.82</v>
      </c>
      <c r="V21" s="31">
        <v>18520</v>
      </c>
      <c r="W21" s="27">
        <v>23144.92</v>
      </c>
      <c r="X21" s="31">
        <v>846.74</v>
      </c>
      <c r="Y21" s="27">
        <v>293.62</v>
      </c>
      <c r="Z21" s="27"/>
      <c r="AA21" s="32"/>
      <c r="AB21" s="33"/>
      <c r="AC21" s="32"/>
      <c r="AD21" s="33"/>
      <c r="AE21" s="34"/>
      <c r="AF21" s="34"/>
      <c r="AG21" s="34"/>
      <c r="AH21" s="34"/>
      <c r="AI21" s="32"/>
      <c r="AJ21" s="34"/>
      <c r="AK21" s="34"/>
      <c r="AL21" s="34"/>
      <c r="AM21" s="34"/>
      <c r="AN21" s="32"/>
      <c r="AO21" s="34"/>
      <c r="AP21" s="32"/>
      <c r="AQ21" s="34"/>
      <c r="AR21" s="34"/>
      <c r="AS21" s="33"/>
    </row>
    <row r="22" spans="1:247" s="25" customFormat="1" ht="9">
      <c r="A22" s="26" t="s">
        <v>44</v>
      </c>
      <c r="B22" s="26"/>
      <c r="C22" s="27">
        <v>54500.72</v>
      </c>
      <c r="D22" s="27">
        <v>4725.1899999999996</v>
      </c>
      <c r="E22" s="27">
        <v>59225.91</v>
      </c>
      <c r="F22" s="31">
        <v>29947.8</v>
      </c>
      <c r="G22" s="31">
        <v>0</v>
      </c>
      <c r="H22" s="31">
        <v>3680.1</v>
      </c>
      <c r="I22" s="31">
        <v>1086.2</v>
      </c>
      <c r="J22" s="29">
        <v>4766.3</v>
      </c>
      <c r="K22" s="31">
        <v>-45520</v>
      </c>
      <c r="L22" s="29">
        <v>48420</v>
      </c>
      <c r="M22" s="29">
        <v>59225.91</v>
      </c>
      <c r="N22" s="27">
        <v>2784.1</v>
      </c>
      <c r="O22" s="27">
        <v>25178.05</v>
      </c>
      <c r="P22" s="27">
        <v>473.84</v>
      </c>
      <c r="Q22" s="31"/>
      <c r="R22" s="27">
        <v>28435.99</v>
      </c>
      <c r="S22" s="27">
        <v>5509.5</v>
      </c>
      <c r="T22" s="27">
        <v>3.8</v>
      </c>
      <c r="U22" s="27">
        <v>433.67</v>
      </c>
      <c r="V22" s="31">
        <v>20895</v>
      </c>
      <c r="W22" s="27">
        <v>26841.97</v>
      </c>
      <c r="X22" s="31">
        <v>833.6</v>
      </c>
      <c r="Y22" s="27">
        <v>3114.29</v>
      </c>
      <c r="Z22" s="27"/>
      <c r="AA22" s="32"/>
      <c r="AB22" s="33"/>
      <c r="AC22" s="32"/>
      <c r="AD22" s="33"/>
      <c r="AE22" s="33"/>
      <c r="AF22" s="34"/>
      <c r="AG22" s="34"/>
      <c r="AH22" s="34"/>
      <c r="AI22" s="32"/>
      <c r="AJ22" s="34"/>
      <c r="AK22" s="34"/>
      <c r="AL22" s="34"/>
      <c r="AM22" s="34"/>
      <c r="AN22" s="32"/>
      <c r="AO22" s="34"/>
      <c r="AP22" s="32"/>
      <c r="AQ22" s="34"/>
      <c r="AR22" s="34"/>
      <c r="AS22" s="33"/>
    </row>
    <row r="23" spans="1:247" s="35" customFormat="1" ht="9">
      <c r="A23" s="26" t="s">
        <v>45</v>
      </c>
      <c r="B23" s="26"/>
      <c r="C23" s="27">
        <v>62793.86</v>
      </c>
      <c r="D23" s="27">
        <v>5540.22</v>
      </c>
      <c r="E23" s="27">
        <v>68334.080000000002</v>
      </c>
      <c r="F23" s="31"/>
      <c r="G23" s="31"/>
      <c r="H23" s="31"/>
      <c r="I23" s="31"/>
      <c r="J23" s="29"/>
      <c r="K23" s="31"/>
      <c r="L23" s="29"/>
      <c r="M23" s="29">
        <v>68334.100000000006</v>
      </c>
      <c r="N23" s="27">
        <v>3345.63</v>
      </c>
      <c r="O23" s="27">
        <v>29786.74</v>
      </c>
      <c r="P23" s="27">
        <v>0</v>
      </c>
      <c r="Q23" s="31"/>
      <c r="R23" s="27">
        <v>33132.379999999997</v>
      </c>
      <c r="S23" s="27">
        <v>4965.38</v>
      </c>
      <c r="T23" s="27">
        <v>3.07</v>
      </c>
      <c r="U23" s="27">
        <v>869.48</v>
      </c>
      <c r="V23" s="31">
        <v>24144</v>
      </c>
      <c r="W23" s="27">
        <v>29982.93</v>
      </c>
      <c r="X23" s="31">
        <v>820.29</v>
      </c>
      <c r="Y23" s="27">
        <v>1863.44</v>
      </c>
      <c r="Z23" s="27">
        <v>2536.04</v>
      </c>
      <c r="AA23" s="32"/>
      <c r="AB23" s="33"/>
      <c r="AC23" s="32"/>
      <c r="AD23" s="33"/>
      <c r="AE23" s="33"/>
      <c r="AF23" s="34"/>
      <c r="AG23" s="34"/>
      <c r="AH23" s="34"/>
      <c r="AI23" s="32"/>
      <c r="AJ23" s="34"/>
      <c r="AK23" s="34"/>
      <c r="AL23" s="34"/>
      <c r="AM23" s="34"/>
      <c r="AN23" s="32"/>
      <c r="AO23" s="34"/>
      <c r="AP23" s="32"/>
      <c r="AQ23" s="34"/>
      <c r="AR23" s="34"/>
      <c r="AS23" s="33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</row>
    <row r="24" spans="1:247" s="40" customFormat="1" ht="9">
      <c r="A24" s="36" t="s">
        <v>46</v>
      </c>
      <c r="B24" s="36"/>
      <c r="C24" s="37">
        <v>72649.8</v>
      </c>
      <c r="D24" s="37">
        <f>4524.59+1616.59+328.69</f>
        <v>6469.87</v>
      </c>
      <c r="E24" s="37">
        <f t="shared" ref="E24:E62" si="0">C24+D24</f>
        <v>79119.67</v>
      </c>
      <c r="F24" s="37"/>
      <c r="G24" s="37"/>
      <c r="H24" s="37"/>
      <c r="I24" s="37"/>
      <c r="J24" s="37"/>
      <c r="K24" s="37"/>
      <c r="L24" s="37"/>
      <c r="M24" s="37">
        <f t="shared" ref="M24:M62" si="1">R24+W24+X24+Y24+Z24</f>
        <v>79119.67</v>
      </c>
      <c r="N24" s="37">
        <v>3500.54</v>
      </c>
      <c r="O24" s="37">
        <v>35904.25</v>
      </c>
      <c r="P24" s="38" t="s">
        <v>47</v>
      </c>
      <c r="Q24" s="37"/>
      <c r="R24" s="39">
        <v>39404.79</v>
      </c>
      <c r="S24" s="37">
        <v>6621.34</v>
      </c>
      <c r="T24" s="37">
        <v>1.88</v>
      </c>
      <c r="U24" s="37">
        <v>905.72</v>
      </c>
      <c r="V24" s="37">
        <v>25450</v>
      </c>
      <c r="W24" s="37">
        <v>32978.9</v>
      </c>
      <c r="X24" s="37">
        <f>370.45+451.72+1.92</f>
        <v>824.09</v>
      </c>
      <c r="Y24" s="37">
        <v>3124.52</v>
      </c>
      <c r="Z24" s="37">
        <v>2787.37</v>
      </c>
    </row>
    <row r="25" spans="1:247" s="45" customFormat="1" ht="9">
      <c r="A25" s="41" t="s">
        <v>48</v>
      </c>
      <c r="B25" s="41"/>
      <c r="C25" s="42">
        <v>78429.38</v>
      </c>
      <c r="D25" s="42">
        <f>4846.23+1616.56+331.17</f>
        <v>6793.9599999999991</v>
      </c>
      <c r="E25" s="43">
        <f t="shared" si="0"/>
        <v>85223.34</v>
      </c>
      <c r="F25" s="42"/>
      <c r="G25" s="42"/>
      <c r="H25" s="42"/>
      <c r="I25" s="42"/>
      <c r="J25" s="42"/>
      <c r="K25" s="42"/>
      <c r="L25" s="42"/>
      <c r="M25" s="37">
        <f t="shared" si="1"/>
        <v>85223.34</v>
      </c>
      <c r="N25" s="42">
        <v>4011.47</v>
      </c>
      <c r="O25" s="42">
        <v>40329.65</v>
      </c>
      <c r="P25" s="44" t="s">
        <v>47</v>
      </c>
      <c r="Q25" s="42"/>
      <c r="R25" s="42">
        <v>44341.1</v>
      </c>
      <c r="S25" s="42">
        <v>6365.18</v>
      </c>
      <c r="T25" s="42">
        <v>1.32</v>
      </c>
      <c r="U25" s="42">
        <v>965.77</v>
      </c>
      <c r="V25" s="42">
        <v>27130</v>
      </c>
      <c r="W25" s="43">
        <v>34462.29</v>
      </c>
      <c r="X25" s="42">
        <f>370.45+443.71+1.92</f>
        <v>816.07999999999993</v>
      </c>
      <c r="Y25" s="42">
        <v>2176.81</v>
      </c>
      <c r="Z25" s="42">
        <v>3427.06</v>
      </c>
    </row>
    <row r="26" spans="1:247" s="40" customFormat="1" ht="9">
      <c r="A26" s="36" t="s">
        <v>49</v>
      </c>
      <c r="B26" s="36"/>
      <c r="C26" s="36">
        <v>86704.75</v>
      </c>
      <c r="D26" s="36">
        <f>3175.26+121.44+389.36</f>
        <v>3686.0600000000004</v>
      </c>
      <c r="E26" s="46">
        <f t="shared" si="0"/>
        <v>90390.81</v>
      </c>
      <c r="F26" s="36"/>
      <c r="G26" s="36"/>
      <c r="H26" s="36"/>
      <c r="I26" s="36"/>
      <c r="J26" s="36"/>
      <c r="K26" s="36"/>
      <c r="L26" s="36"/>
      <c r="M26" s="46">
        <f t="shared" si="1"/>
        <v>90390.81</v>
      </c>
      <c r="N26" s="36">
        <f>3625.4</f>
        <v>3625.4</v>
      </c>
      <c r="O26" s="36">
        <v>43787.22</v>
      </c>
      <c r="P26" s="47" t="s">
        <v>47</v>
      </c>
      <c r="Q26" s="36"/>
      <c r="R26" s="36">
        <f t="shared" ref="R26:R62" si="2">N26+O26</f>
        <v>47412.62</v>
      </c>
      <c r="S26" s="36">
        <v>7027.63</v>
      </c>
      <c r="T26" s="36">
        <v>1.1299999999999999</v>
      </c>
      <c r="U26" s="36">
        <v>1000.33</v>
      </c>
      <c r="V26" s="36">
        <f>30910+363.04</f>
        <v>31273.040000000001</v>
      </c>
      <c r="W26" s="46">
        <f t="shared" ref="W26:W62" si="3">S26+T26+U26+V26</f>
        <v>39302.130000000005</v>
      </c>
      <c r="X26" s="36">
        <v>497.95</v>
      </c>
      <c r="Y26" s="36">
        <v>2073.04</v>
      </c>
      <c r="Z26" s="36">
        <f>4.84+1100.23</f>
        <v>1105.07</v>
      </c>
    </row>
    <row r="27" spans="1:247" s="45" customFormat="1" ht="9">
      <c r="A27" s="41" t="s">
        <v>50</v>
      </c>
      <c r="B27" s="41"/>
      <c r="C27" s="41">
        <v>95762.880000000005</v>
      </c>
      <c r="D27" s="41">
        <f>3511.42+101.13+388.98</f>
        <v>4001.53</v>
      </c>
      <c r="E27" s="48">
        <f t="shared" si="0"/>
        <v>99764.41</v>
      </c>
      <c r="F27" s="41"/>
      <c r="G27" s="41"/>
      <c r="H27" s="41"/>
      <c r="I27" s="41"/>
      <c r="J27" s="41"/>
      <c r="K27" s="41"/>
      <c r="L27" s="41"/>
      <c r="M27" s="46">
        <f t="shared" si="1"/>
        <v>99764.409999999989</v>
      </c>
      <c r="N27" s="41">
        <v>3463.2</v>
      </c>
      <c r="O27" s="41">
        <v>49261.07</v>
      </c>
      <c r="P27" s="49" t="s">
        <v>47</v>
      </c>
      <c r="Q27" s="41"/>
      <c r="R27" s="41">
        <f t="shared" si="2"/>
        <v>52724.27</v>
      </c>
      <c r="S27" s="41">
        <v>7478.53</v>
      </c>
      <c r="T27" s="41">
        <v>1.1299999999999999</v>
      </c>
      <c r="U27" s="41">
        <v>1081</v>
      </c>
      <c r="V27" s="41">
        <f>31260+363.03</f>
        <v>31623.03</v>
      </c>
      <c r="W27" s="48">
        <f t="shared" si="3"/>
        <v>40183.69</v>
      </c>
      <c r="X27" s="41">
        <v>499.82</v>
      </c>
      <c r="Y27" s="41">
        <v>3680.12</v>
      </c>
      <c r="Z27" s="41">
        <f>4.9+2671.61</f>
        <v>2676.51</v>
      </c>
    </row>
    <row r="28" spans="1:247" s="40" customFormat="1" ht="9">
      <c r="A28" s="36" t="s">
        <v>51</v>
      </c>
      <c r="B28" s="36"/>
      <c r="C28" s="36">
        <v>102328.18</v>
      </c>
      <c r="D28" s="36">
        <f>3151.1+1105.2</f>
        <v>4256.3</v>
      </c>
      <c r="E28" s="46">
        <f t="shared" si="0"/>
        <v>106584.48</v>
      </c>
      <c r="F28" s="36"/>
      <c r="G28" s="36"/>
      <c r="H28" s="36"/>
      <c r="I28" s="36"/>
      <c r="J28" s="36"/>
      <c r="K28" s="36"/>
      <c r="L28" s="36"/>
      <c r="M28" s="46">
        <f t="shared" si="1"/>
        <v>106584.46</v>
      </c>
      <c r="N28" s="36">
        <v>6334.82</v>
      </c>
      <c r="O28" s="36">
        <v>55042.54</v>
      </c>
      <c r="P28" s="50" t="s">
        <v>47</v>
      </c>
      <c r="Q28" s="36"/>
      <c r="R28" s="36">
        <f t="shared" si="2"/>
        <v>61377.36</v>
      </c>
      <c r="S28" s="36">
        <v>13471.34</v>
      </c>
      <c r="T28" s="36">
        <v>1.19</v>
      </c>
      <c r="U28" s="36">
        <v>1118.5</v>
      </c>
      <c r="V28" s="36">
        <f>25980+344.9</f>
        <v>26324.9</v>
      </c>
      <c r="W28" s="51">
        <f t="shared" si="3"/>
        <v>40915.93</v>
      </c>
      <c r="X28" s="36">
        <v>580.08000000000004</v>
      </c>
      <c r="Y28" s="36">
        <v>2375.44</v>
      </c>
      <c r="Z28" s="36">
        <v>1335.65</v>
      </c>
    </row>
    <row r="29" spans="1:247" s="45" customFormat="1" ht="9">
      <c r="A29" s="41" t="s">
        <v>52</v>
      </c>
      <c r="B29" s="41"/>
      <c r="C29" s="41">
        <v>112686.36</v>
      </c>
      <c r="D29" s="41">
        <f>3414.01+495.58+632.13</f>
        <v>4541.72</v>
      </c>
      <c r="E29" s="48">
        <f t="shared" si="0"/>
        <v>117228.08</v>
      </c>
      <c r="F29" s="41"/>
      <c r="G29" s="41"/>
      <c r="H29" s="41"/>
      <c r="I29" s="41"/>
      <c r="J29" s="41"/>
      <c r="K29" s="41"/>
      <c r="L29" s="41"/>
      <c r="M29" s="46">
        <f t="shared" si="1"/>
        <v>117228.06999999999</v>
      </c>
      <c r="N29" s="41">
        <v>7860.76</v>
      </c>
      <c r="O29" s="41">
        <v>60524.35</v>
      </c>
      <c r="P29" s="52" t="s">
        <v>47</v>
      </c>
      <c r="Q29" s="41"/>
      <c r="R29" s="41">
        <f t="shared" si="2"/>
        <v>68385.11</v>
      </c>
      <c r="S29" s="41">
        <v>12419.43</v>
      </c>
      <c r="T29" s="41">
        <v>1.1000000000000001</v>
      </c>
      <c r="U29" s="41">
        <v>2118.54</v>
      </c>
      <c r="V29" s="41">
        <v>27449</v>
      </c>
      <c r="W29" s="48">
        <f t="shared" si="3"/>
        <v>41988.07</v>
      </c>
      <c r="X29" s="41">
        <f>344.88+529.35</f>
        <v>874.23</v>
      </c>
      <c r="Y29" s="41">
        <v>4181.2700000000004</v>
      </c>
      <c r="Z29" s="41">
        <f>273.36+1526.33-0.3</f>
        <v>1799.39</v>
      </c>
    </row>
    <row r="30" spans="1:247" s="45" customFormat="1" ht="9">
      <c r="A30" s="41" t="s">
        <v>53</v>
      </c>
      <c r="B30" s="41"/>
      <c r="C30" s="41">
        <v>121439.65</v>
      </c>
      <c r="D30" s="41">
        <f>2971.34+522.72+819.04</f>
        <v>4313.1000000000004</v>
      </c>
      <c r="E30" s="48">
        <f t="shared" si="0"/>
        <v>125752.75</v>
      </c>
      <c r="F30" s="41"/>
      <c r="G30" s="41"/>
      <c r="H30" s="41"/>
      <c r="I30" s="41"/>
      <c r="J30" s="41"/>
      <c r="K30" s="41"/>
      <c r="L30" s="41"/>
      <c r="M30" s="46">
        <f t="shared" si="1"/>
        <v>125752.75000000001</v>
      </c>
      <c r="N30" s="41">
        <v>10738.32</v>
      </c>
      <c r="O30" s="41">
        <v>66632.06</v>
      </c>
      <c r="P30" s="52" t="s">
        <v>47</v>
      </c>
      <c r="Q30" s="41"/>
      <c r="R30" s="41">
        <f t="shared" si="2"/>
        <v>77370.38</v>
      </c>
      <c r="S30" s="41">
        <v>14950.48</v>
      </c>
      <c r="T30" s="41">
        <v>0.75</v>
      </c>
      <c r="U30" s="41">
        <v>2197.86</v>
      </c>
      <c r="V30" s="41">
        <v>23880</v>
      </c>
      <c r="W30" s="48">
        <f t="shared" si="3"/>
        <v>41029.089999999997</v>
      </c>
      <c r="X30" s="41">
        <f>372.4+478.28+197.17</f>
        <v>1047.8499999999999</v>
      </c>
      <c r="Y30" s="41">
        <v>4739.16</v>
      </c>
      <c r="Z30" s="41">
        <v>1566.27</v>
      </c>
    </row>
    <row r="31" spans="1:247" s="45" customFormat="1" ht="9">
      <c r="A31" s="41" t="s">
        <v>54</v>
      </c>
      <c r="B31" s="41"/>
      <c r="C31" s="41">
        <v>130971.08</v>
      </c>
      <c r="D31" s="41">
        <f>3448.68+541.6+786.81</f>
        <v>4777.09</v>
      </c>
      <c r="E31" s="48">
        <f t="shared" si="0"/>
        <v>135748.17000000001</v>
      </c>
      <c r="F31" s="41"/>
      <c r="G31" s="41"/>
      <c r="H31" s="41"/>
      <c r="I31" s="41"/>
      <c r="J31" s="41"/>
      <c r="K31" s="41"/>
      <c r="L31" s="41"/>
      <c r="M31" s="46">
        <f t="shared" si="1"/>
        <v>135748.17000000001</v>
      </c>
      <c r="N31" s="41">
        <v>11672.24</v>
      </c>
      <c r="O31" s="41">
        <v>76397.55</v>
      </c>
      <c r="P31" s="52" t="s">
        <v>47</v>
      </c>
      <c r="Q31" s="41"/>
      <c r="R31" s="41">
        <f t="shared" si="2"/>
        <v>88069.790000000008</v>
      </c>
      <c r="S31" s="41">
        <v>14950.48</v>
      </c>
      <c r="T31" s="41">
        <v>0.75</v>
      </c>
      <c r="U31" s="41">
        <v>2198.4899999999998</v>
      </c>
      <c r="V31" s="41">
        <v>26169.81</v>
      </c>
      <c r="W31" s="48">
        <f t="shared" si="3"/>
        <v>43319.53</v>
      </c>
      <c r="X31" s="41">
        <f>474.96+220.03+372.4</f>
        <v>1067.3899999999999</v>
      </c>
      <c r="Y31" s="41">
        <v>2000.03</v>
      </c>
      <c r="Z31" s="41">
        <v>1291.43</v>
      </c>
    </row>
    <row r="32" spans="1:247" s="40" customFormat="1" ht="9">
      <c r="A32" s="36" t="s">
        <v>55</v>
      </c>
      <c r="B32" s="36"/>
      <c r="C32" s="36">
        <f>140507.29+202.6</f>
        <v>140709.89000000001</v>
      </c>
      <c r="D32" s="36">
        <f>145283.39-140507.29+221.2-3.8</f>
        <v>4993.5000000000055</v>
      </c>
      <c r="E32" s="36">
        <f t="shared" si="0"/>
        <v>145703.39000000001</v>
      </c>
      <c r="F32" s="36"/>
      <c r="G32" s="36"/>
      <c r="H32" s="36"/>
      <c r="I32" s="36"/>
      <c r="J32" s="36"/>
      <c r="K32" s="36"/>
      <c r="L32" s="36"/>
      <c r="M32" s="46">
        <f t="shared" si="1"/>
        <v>145703.38999999998</v>
      </c>
      <c r="N32" s="36">
        <f>15617.2-53.3</f>
        <v>15563.900000000001</v>
      </c>
      <c r="O32" s="36">
        <f>79468.78+296.9</f>
        <v>79765.679999999993</v>
      </c>
      <c r="P32" s="50" t="s">
        <v>47</v>
      </c>
      <c r="Q32" s="36">
        <v>0</v>
      </c>
      <c r="R32" s="36">
        <f t="shared" si="2"/>
        <v>95329.579999999987</v>
      </c>
      <c r="S32" s="36">
        <f>13800.48-96.8</f>
        <v>13703.68</v>
      </c>
      <c r="T32" s="36">
        <v>0.42</v>
      </c>
      <c r="U32" s="36">
        <f>2198.49-24.9</f>
        <v>2173.5899999999997</v>
      </c>
      <c r="V32" s="36">
        <f>27784.81+15.2</f>
        <v>27800.010000000002</v>
      </c>
      <c r="W32" s="46">
        <f t="shared" si="3"/>
        <v>43677.700000000004</v>
      </c>
      <c r="X32" s="36">
        <f>1192.44+3.2-3.8</f>
        <v>1191.8400000000001</v>
      </c>
      <c r="Y32" s="36">
        <f>2897.59+992.6</f>
        <v>3890.19</v>
      </c>
      <c r="Z32" s="36">
        <f>2323.18-709.1</f>
        <v>1614.08</v>
      </c>
    </row>
    <row r="33" spans="1:26" s="45" customFormat="1" ht="9">
      <c r="A33" s="41" t="s">
        <v>56</v>
      </c>
      <c r="B33" s="41"/>
      <c r="C33" s="41">
        <f>146273249/1000</f>
        <v>146273.24900000001</v>
      </c>
      <c r="D33" s="41">
        <f>(3759258+593181+841760)/1000</f>
        <v>5194.1989999999996</v>
      </c>
      <c r="E33" s="41">
        <f t="shared" si="0"/>
        <v>151467.448</v>
      </c>
      <c r="F33" s="41"/>
      <c r="G33" s="41"/>
      <c r="H33" s="41"/>
      <c r="I33" s="41"/>
      <c r="J33" s="41"/>
      <c r="K33" s="41"/>
      <c r="L33" s="41"/>
      <c r="M33" s="46">
        <f t="shared" si="1"/>
        <v>151467.448</v>
      </c>
      <c r="N33" s="41">
        <f>16785144/1000</f>
        <v>16785.144</v>
      </c>
      <c r="O33" s="41">
        <f>84393954/1000</f>
        <v>84393.953999999998</v>
      </c>
      <c r="P33" s="52" t="s">
        <v>47</v>
      </c>
      <c r="Q33" s="41"/>
      <c r="R33" s="41">
        <f t="shared" si="2"/>
        <v>101179.098</v>
      </c>
      <c r="S33" s="41">
        <f>13703680/1000</f>
        <v>13703.68</v>
      </c>
      <c r="T33" s="41">
        <f>418/1000</f>
        <v>0.41799999999999998</v>
      </c>
      <c r="U33" s="41">
        <f>2173588/1000</f>
        <v>2173.5880000000002</v>
      </c>
      <c r="V33" s="41">
        <f>25500000/1000</f>
        <v>25500</v>
      </c>
      <c r="W33" s="48">
        <f t="shared" si="3"/>
        <v>41377.686000000002</v>
      </c>
      <c r="X33" s="41">
        <f>(356018+485482+354839)/1000</f>
        <v>1196.3389999999999</v>
      </c>
      <c r="Y33" s="41">
        <f>5300959/1000</f>
        <v>5300.9589999999998</v>
      </c>
      <c r="Z33" s="41">
        <f>2413366/1000</f>
        <v>2413.366</v>
      </c>
    </row>
    <row r="34" spans="1:26" s="45" customFormat="1" ht="9">
      <c r="A34" s="41" t="s">
        <v>57</v>
      </c>
      <c r="B34" s="41"/>
      <c r="C34" s="41">
        <f>150539681/1000</f>
        <v>150539.68100000001</v>
      </c>
      <c r="D34" s="41">
        <f>(3964133+604453+926179)/1000</f>
        <v>5494.7650000000003</v>
      </c>
      <c r="E34" s="41">
        <f t="shared" si="0"/>
        <v>156034.44600000003</v>
      </c>
      <c r="F34" s="41"/>
      <c r="G34" s="41"/>
      <c r="H34" s="41"/>
      <c r="I34" s="41"/>
      <c r="J34" s="41"/>
      <c r="K34" s="41"/>
      <c r="L34" s="41"/>
      <c r="M34" s="46">
        <f t="shared" si="1"/>
        <v>156034.446</v>
      </c>
      <c r="N34" s="41">
        <f>20280556/1000</f>
        <v>20280.556</v>
      </c>
      <c r="O34" s="41">
        <f>87332873/1000</f>
        <v>87332.873000000007</v>
      </c>
      <c r="P34" s="52" t="s">
        <v>47</v>
      </c>
      <c r="Q34" s="41"/>
      <c r="R34" s="41">
        <f t="shared" si="2"/>
        <v>107613.429</v>
      </c>
      <c r="S34" s="41">
        <f>15030112/1000</f>
        <v>15030.111999999999</v>
      </c>
      <c r="T34" s="41">
        <f>398/1000</f>
        <v>0.39800000000000002</v>
      </c>
      <c r="U34" s="41">
        <f>2173588/1000</f>
        <v>2173.5880000000002</v>
      </c>
      <c r="V34" s="41">
        <f>23900000/1000</f>
        <v>23900</v>
      </c>
      <c r="W34" s="48">
        <f t="shared" si="3"/>
        <v>41104.097999999998</v>
      </c>
      <c r="X34" s="41">
        <f>(356018+458182+355318)/1000</f>
        <v>1169.518</v>
      </c>
      <c r="Y34" s="41">
        <f>4633498/1000</f>
        <v>4633.4979999999996</v>
      </c>
      <c r="Z34" s="41">
        <f>1513903/1000</f>
        <v>1513.903</v>
      </c>
    </row>
    <row r="35" spans="1:26" s="45" customFormat="1" ht="9">
      <c r="A35" s="41" t="s">
        <v>58</v>
      </c>
      <c r="B35" s="41"/>
      <c r="C35" s="41">
        <f>156249763/1000</f>
        <v>156249.76300000001</v>
      </c>
      <c r="D35" s="41">
        <f>(4378532+632515+932560)/1000</f>
        <v>5943.607</v>
      </c>
      <c r="E35" s="41">
        <f t="shared" si="0"/>
        <v>162193.37</v>
      </c>
      <c r="F35" s="41"/>
      <c r="G35" s="41"/>
      <c r="H35" s="41"/>
      <c r="I35" s="41"/>
      <c r="J35" s="41"/>
      <c r="K35" s="41"/>
      <c r="L35" s="41"/>
      <c r="M35" s="46">
        <f t="shared" si="1"/>
        <v>162193.37</v>
      </c>
      <c r="N35" s="41">
        <f>22819812/1000</f>
        <v>22819.812000000002</v>
      </c>
      <c r="O35" s="41">
        <f>89951261/1000</f>
        <v>89951.260999999999</v>
      </c>
      <c r="P35" s="52" t="s">
        <v>47</v>
      </c>
      <c r="Q35" s="41"/>
      <c r="R35" s="41">
        <f t="shared" si="2"/>
        <v>112771.073</v>
      </c>
      <c r="S35" s="41">
        <f>15030112/1000</f>
        <v>15030.111999999999</v>
      </c>
      <c r="T35" s="41">
        <v>0</v>
      </c>
      <c r="U35" s="41">
        <f>2173588/1000</f>
        <v>2173.5880000000002</v>
      </c>
      <c r="V35" s="41">
        <f>24340000/1000</f>
        <v>24340</v>
      </c>
      <c r="W35" s="48">
        <f t="shared" si="3"/>
        <v>41543.699999999997</v>
      </c>
      <c r="X35" s="41">
        <f>(356018+496136+355318)/1000</f>
        <v>1207.472</v>
      </c>
      <c r="Y35" s="41">
        <f>4696538/1000</f>
        <v>4696.5379999999996</v>
      </c>
      <c r="Z35" s="41">
        <f>1974587/1000</f>
        <v>1974.587</v>
      </c>
    </row>
    <row r="36" spans="1:26" s="40" customFormat="1" ht="9">
      <c r="A36" s="36" t="s">
        <v>59</v>
      </c>
      <c r="B36" s="36"/>
      <c r="C36" s="36">
        <f>163548575/1000</f>
        <v>163548.57500000001</v>
      </c>
      <c r="D36" s="36">
        <f>(4202886+733272+1205652)/1000</f>
        <v>6141.81</v>
      </c>
      <c r="E36" s="36">
        <f t="shared" si="0"/>
        <v>169690.38500000001</v>
      </c>
      <c r="F36" s="36"/>
      <c r="G36" s="36"/>
      <c r="H36" s="36"/>
      <c r="I36" s="36"/>
      <c r="J36" s="36"/>
      <c r="K36" s="36"/>
      <c r="L36" s="36"/>
      <c r="M36" s="46">
        <f t="shared" si="1"/>
        <v>169690.38499999998</v>
      </c>
      <c r="N36" s="36">
        <f>24862282/1000</f>
        <v>24862.281999999999</v>
      </c>
      <c r="O36" s="36">
        <f>91576300/1000</f>
        <v>91576.3</v>
      </c>
      <c r="P36" s="50" t="s">
        <v>47</v>
      </c>
      <c r="Q36" s="50" t="s">
        <v>47</v>
      </c>
      <c r="R36" s="36">
        <f t="shared" si="2"/>
        <v>116438.58199999999</v>
      </c>
      <c r="S36" s="36">
        <f>14130105/1000</f>
        <v>14130.105</v>
      </c>
      <c r="T36" s="36">
        <v>0</v>
      </c>
      <c r="U36" s="36">
        <f>2220531/1000</f>
        <v>2220.5309999999999</v>
      </c>
      <c r="V36" s="36">
        <f>26660000/1000</f>
        <v>26660</v>
      </c>
      <c r="W36" s="46">
        <f t="shared" si="3"/>
        <v>43010.635999999999</v>
      </c>
      <c r="X36" s="36">
        <f>(820714+328858+2168)/1000</f>
        <v>1151.74</v>
      </c>
      <c r="Y36" s="36">
        <f>7380801/1000</f>
        <v>7380.8010000000004</v>
      </c>
      <c r="Z36" s="36">
        <f>1708626/1000</f>
        <v>1708.626</v>
      </c>
    </row>
    <row r="37" spans="1:26" s="45" customFormat="1" ht="9">
      <c r="A37" s="41" t="s">
        <v>60</v>
      </c>
      <c r="B37" s="41"/>
      <c r="C37" s="41">
        <f>169796584.29775/1000</f>
        <v>169796.58429775</v>
      </c>
      <c r="D37" s="41">
        <f>(5308154+856077+1080495)/1000</f>
        <v>7244.7259999999997</v>
      </c>
      <c r="E37" s="41">
        <f t="shared" si="0"/>
        <v>177041.31029774999</v>
      </c>
      <c r="F37" s="41"/>
      <c r="G37" s="41"/>
      <c r="H37" s="41"/>
      <c r="I37" s="41"/>
      <c r="J37" s="41"/>
      <c r="K37" s="41"/>
      <c r="L37" s="41"/>
      <c r="M37" s="46">
        <f t="shared" si="1"/>
        <v>177041.30987018748</v>
      </c>
      <c r="N37" s="41">
        <f>27304259/1000</f>
        <v>27304.258999999998</v>
      </c>
      <c r="O37" s="41">
        <f>98250341.8701875/1000</f>
        <v>98250.341870187505</v>
      </c>
      <c r="P37" s="52" t="s">
        <v>47</v>
      </c>
      <c r="Q37" s="41"/>
      <c r="R37" s="41">
        <f t="shared" si="2"/>
        <v>125554.60087018751</v>
      </c>
      <c r="S37" s="41">
        <f>14130105/1000</f>
        <v>14130.105</v>
      </c>
      <c r="T37" s="41">
        <v>0</v>
      </c>
      <c r="U37" s="41">
        <f>2228531/1000</f>
        <v>2228.5309999999999</v>
      </c>
      <c r="V37" s="41">
        <f>27267911/1000</f>
        <v>27267.911</v>
      </c>
      <c r="W37" s="48">
        <f t="shared" si="3"/>
        <v>43626.546999999999</v>
      </c>
      <c r="X37" s="41">
        <v>1165.0989999999999</v>
      </c>
      <c r="Y37" s="41">
        <f>5079169/1000</f>
        <v>5079.1689999999999</v>
      </c>
      <c r="Z37" s="41">
        <f>1615894/1000</f>
        <v>1615.894</v>
      </c>
    </row>
    <row r="38" spans="1:26" s="45" customFormat="1" ht="9">
      <c r="A38" s="41" t="s">
        <v>61</v>
      </c>
      <c r="B38" s="41"/>
      <c r="C38" s="41">
        <f>174161196/1000</f>
        <v>174161.196</v>
      </c>
      <c r="D38" s="41">
        <f>(4648173+717325+1270073)/1000</f>
        <v>6635.5709999999999</v>
      </c>
      <c r="E38" s="41">
        <f t="shared" si="0"/>
        <v>180796.76699999999</v>
      </c>
      <c r="F38" s="41"/>
      <c r="G38" s="41"/>
      <c r="H38" s="41"/>
      <c r="I38" s="41"/>
      <c r="J38" s="41"/>
      <c r="K38" s="41"/>
      <c r="L38" s="41"/>
      <c r="M38" s="46">
        <f t="shared" si="1"/>
        <v>180796.76699999999</v>
      </c>
      <c r="N38" s="41">
        <f>24542406/1000</f>
        <v>24542.405999999999</v>
      </c>
      <c r="O38" s="41">
        <f>97345187/1000</f>
        <v>97345.187000000005</v>
      </c>
      <c r="P38" s="52" t="s">
        <v>47</v>
      </c>
      <c r="Q38" s="41"/>
      <c r="R38" s="41">
        <f t="shared" si="2"/>
        <v>121887.59300000001</v>
      </c>
      <c r="S38" s="41">
        <f>13699880/1000</f>
        <v>13699.88</v>
      </c>
      <c r="T38" s="41">
        <v>0</v>
      </c>
      <c r="U38" s="41">
        <f>2220531/1000</f>
        <v>2220.5309999999999</v>
      </c>
      <c r="V38" s="41">
        <f>34410000/1000</f>
        <v>34410</v>
      </c>
      <c r="W38" s="53">
        <f t="shared" si="3"/>
        <v>50330.411</v>
      </c>
      <c r="X38" s="41">
        <f>(820715+307754+2168)/1000</f>
        <v>1130.6369999999999</v>
      </c>
      <c r="Y38" s="41">
        <f>6172769/1000</f>
        <v>6172.7690000000002</v>
      </c>
      <c r="Z38" s="41">
        <f>1275357/1000</f>
        <v>1275.357</v>
      </c>
    </row>
    <row r="39" spans="1:26" s="45" customFormat="1" ht="9">
      <c r="A39" s="41" t="s">
        <v>62</v>
      </c>
      <c r="B39" s="41"/>
      <c r="C39" s="41">
        <f>182295743/1000</f>
        <v>182295.74299999999</v>
      </c>
      <c r="D39" s="41">
        <f>(4848421+794122+1202156)/1000</f>
        <v>6844.6989999999996</v>
      </c>
      <c r="E39" s="41">
        <f t="shared" si="0"/>
        <v>189140.44199999998</v>
      </c>
      <c r="F39" s="41"/>
      <c r="G39" s="41"/>
      <c r="H39" s="41"/>
      <c r="I39" s="41"/>
      <c r="J39" s="41"/>
      <c r="K39" s="41"/>
      <c r="L39" s="41"/>
      <c r="M39" s="46">
        <f t="shared" si="1"/>
        <v>189140.44299999997</v>
      </c>
      <c r="N39" s="41">
        <f>30732218/1000</f>
        <v>30732.218000000001</v>
      </c>
      <c r="O39" s="41">
        <f>103102476/1000</f>
        <v>103102.476</v>
      </c>
      <c r="P39" s="52" t="s">
        <v>47</v>
      </c>
      <c r="Q39" s="41"/>
      <c r="R39" s="41">
        <f t="shared" si="2"/>
        <v>133834.69399999999</v>
      </c>
      <c r="S39" s="41">
        <f>13201330/1000</f>
        <v>13201.33</v>
      </c>
      <c r="T39" s="41">
        <v>0</v>
      </c>
      <c r="U39" s="41">
        <f>2220531/1000</f>
        <v>2220.5309999999999</v>
      </c>
      <c r="V39" s="41">
        <v>32070</v>
      </c>
      <c r="W39" s="53">
        <f t="shared" si="3"/>
        <v>47491.861000000004</v>
      </c>
      <c r="X39" s="41">
        <f>(820715+300533+2168)/1000</f>
        <v>1123.4159999999999</v>
      </c>
      <c r="Y39" s="41">
        <f>5009781/1000</f>
        <v>5009.7809999999999</v>
      </c>
      <c r="Z39" s="41">
        <f>1680691/1000</f>
        <v>1680.691</v>
      </c>
    </row>
    <row r="40" spans="1:26" s="40" customFormat="1" ht="9">
      <c r="A40" s="36" t="s">
        <v>63</v>
      </c>
      <c r="B40" s="36"/>
      <c r="C40" s="36">
        <f>187565345/1000</f>
        <v>187565.345</v>
      </c>
      <c r="D40" s="36">
        <f>(4628002+803617+1446282)/1000</f>
        <v>6877.9009999999998</v>
      </c>
      <c r="E40" s="36">
        <f t="shared" si="0"/>
        <v>194443.24600000001</v>
      </c>
      <c r="F40" s="36"/>
      <c r="G40" s="36"/>
      <c r="H40" s="36"/>
      <c r="I40" s="36"/>
      <c r="J40" s="36"/>
      <c r="K40" s="36"/>
      <c r="L40" s="36"/>
      <c r="M40" s="46">
        <f t="shared" si="1"/>
        <v>194443.24599999998</v>
      </c>
      <c r="N40" s="36">
        <f>24819626/1000</f>
        <v>24819.626</v>
      </c>
      <c r="O40" s="36">
        <f>104115956/1000</f>
        <v>104115.95600000001</v>
      </c>
      <c r="P40" s="50" t="s">
        <v>47</v>
      </c>
      <c r="Q40" s="36"/>
      <c r="R40" s="36">
        <f t="shared" si="2"/>
        <v>128935.58200000001</v>
      </c>
      <c r="S40" s="36">
        <f>15226398/1000</f>
        <v>15226.397999999999</v>
      </c>
      <c r="T40" s="36">
        <v>0</v>
      </c>
      <c r="U40" s="36">
        <f>2220531/1000</f>
        <v>2220.5309999999999</v>
      </c>
      <c r="V40" s="36">
        <f>36870000/1000</f>
        <v>36870</v>
      </c>
      <c r="W40" s="51">
        <f t="shared" si="3"/>
        <v>54316.929000000004</v>
      </c>
      <c r="X40" s="36">
        <f>(788304+320306+2168)/1000</f>
        <v>1110.778</v>
      </c>
      <c r="Y40" s="36">
        <f>8014774/1000</f>
        <v>8014.7740000000003</v>
      </c>
      <c r="Z40" s="36">
        <f>2065183/1000</f>
        <v>2065.183</v>
      </c>
    </row>
    <row r="41" spans="1:26" s="45" customFormat="1" ht="9">
      <c r="A41" s="41" t="s">
        <v>64</v>
      </c>
      <c r="B41" s="41"/>
      <c r="C41" s="41">
        <f>194725351203/1000000</f>
        <v>194725.351203</v>
      </c>
      <c r="D41" s="41">
        <f>(5003017956+835480000+1288578000)/1000000</f>
        <v>7127.0759559999997</v>
      </c>
      <c r="E41" s="41">
        <f t="shared" si="0"/>
        <v>201852.42715899998</v>
      </c>
      <c r="F41" s="41"/>
      <c r="G41" s="41"/>
      <c r="H41" s="41"/>
      <c r="I41" s="41"/>
      <c r="J41" s="41"/>
      <c r="K41" s="41"/>
      <c r="L41" s="41"/>
      <c r="M41" s="46">
        <f t="shared" si="1"/>
        <v>201852.42715899998</v>
      </c>
      <c r="N41" s="41">
        <f>26573640000/1000000</f>
        <v>26573.64</v>
      </c>
      <c r="O41" s="41">
        <f>110236306000/1000000</f>
        <v>110236.306</v>
      </c>
      <c r="P41" s="52" t="s">
        <v>47</v>
      </c>
      <c r="Q41" s="41"/>
      <c r="R41" s="41">
        <f t="shared" si="2"/>
        <v>136809.946</v>
      </c>
      <c r="S41" s="41">
        <f>19223651000/1000000</f>
        <v>19223.651000000002</v>
      </c>
      <c r="T41" s="41">
        <v>0</v>
      </c>
      <c r="U41" s="41">
        <f>2220531000/1000000</f>
        <v>2220.5309999999999</v>
      </c>
      <c r="V41" s="41">
        <f>36670000000/1000000</f>
        <v>36670</v>
      </c>
      <c r="W41" s="53">
        <f t="shared" si="3"/>
        <v>58114.182000000001</v>
      </c>
      <c r="X41" s="41">
        <f>(780804000+322806000+2168000)/1000000</f>
        <v>1105.778</v>
      </c>
      <c r="Y41" s="41">
        <f>3654640159/1000000</f>
        <v>3654.640159</v>
      </c>
      <c r="Z41" s="41">
        <f>2167881000/1000000</f>
        <v>2167.8809999999999</v>
      </c>
    </row>
    <row r="42" spans="1:26" s="45" customFormat="1" ht="9">
      <c r="A42" s="41" t="s">
        <v>65</v>
      </c>
      <c r="B42" s="41"/>
      <c r="C42" s="41">
        <f>200532038/1000</f>
        <v>200532.038</v>
      </c>
      <c r="D42" s="41">
        <f>(4864587+918034+1522146)/1000</f>
        <v>7304.7669999999998</v>
      </c>
      <c r="E42" s="41">
        <f t="shared" si="0"/>
        <v>207836.80499999999</v>
      </c>
      <c r="F42" s="41"/>
      <c r="G42" s="41"/>
      <c r="H42" s="41"/>
      <c r="I42" s="41"/>
      <c r="J42" s="41"/>
      <c r="K42" s="41"/>
      <c r="L42" s="41"/>
      <c r="M42" s="46">
        <f t="shared" si="1"/>
        <v>207836.80600000004</v>
      </c>
      <c r="N42" s="41">
        <f>23486780/1000</f>
        <v>23486.78</v>
      </c>
      <c r="O42" s="41">
        <f>112445816/1000</f>
        <v>112445.81600000001</v>
      </c>
      <c r="P42" s="52" t="s">
        <v>47</v>
      </c>
      <c r="Q42" s="41"/>
      <c r="R42" s="41">
        <f t="shared" si="2"/>
        <v>135932.59600000002</v>
      </c>
      <c r="S42" s="41">
        <f>19258011/1000</f>
        <v>19258.010999999999</v>
      </c>
      <c r="T42" s="41">
        <v>0</v>
      </c>
      <c r="U42" s="41">
        <f>2220531/1000</f>
        <v>2220.5309999999999</v>
      </c>
      <c r="V42" s="41">
        <f>36820000/1000</f>
        <v>36820</v>
      </c>
      <c r="W42" s="53">
        <f t="shared" si="3"/>
        <v>58298.542000000001</v>
      </c>
      <c r="X42" s="41">
        <f>(780455+333267+2168)/1000</f>
        <v>1115.8900000000001</v>
      </c>
      <c r="Y42" s="41">
        <f>10452224/1000</f>
        <v>10452.224</v>
      </c>
      <c r="Z42" s="41">
        <f>2037554/1000</f>
        <v>2037.5540000000001</v>
      </c>
    </row>
    <row r="43" spans="1:26" s="45" customFormat="1" ht="9">
      <c r="A43" s="41" t="s">
        <v>66</v>
      </c>
      <c r="B43" s="41"/>
      <c r="C43" s="41">
        <v>208782.66500000001</v>
      </c>
      <c r="D43" s="41">
        <f>(3982268+920285+1552231)/1000</f>
        <v>6454.7839999999997</v>
      </c>
      <c r="E43" s="41">
        <f t="shared" si="0"/>
        <v>215237.44900000002</v>
      </c>
      <c r="F43" s="41"/>
      <c r="G43" s="41"/>
      <c r="H43" s="41"/>
      <c r="I43" s="41"/>
      <c r="J43" s="41"/>
      <c r="K43" s="41"/>
      <c r="L43" s="41"/>
      <c r="M43" s="46">
        <f t="shared" si="1"/>
        <v>215237.44899999999</v>
      </c>
      <c r="N43" s="41">
        <f>23223720/1000</f>
        <v>23223.72</v>
      </c>
      <c r="O43" s="41">
        <f>117825188/1000</f>
        <v>117825.18799999999</v>
      </c>
      <c r="P43" s="52" t="s">
        <v>47</v>
      </c>
      <c r="Q43" s="41"/>
      <c r="R43" s="41">
        <f t="shared" si="2"/>
        <v>141048.908</v>
      </c>
      <c r="S43" s="41">
        <f>18560966/1000</f>
        <v>18560.966</v>
      </c>
      <c r="T43" s="41">
        <v>0</v>
      </c>
      <c r="U43" s="41">
        <f>2220531/1000</f>
        <v>2220.5309999999999</v>
      </c>
      <c r="V43" s="41">
        <f>43870000/1000</f>
        <v>43870</v>
      </c>
      <c r="W43" s="53">
        <f t="shared" si="3"/>
        <v>64651.497000000003</v>
      </c>
      <c r="X43" s="41">
        <f>(779199+402305+2168)/1000</f>
        <v>1183.672</v>
      </c>
      <c r="Y43" s="41">
        <f>6188192/1000</f>
        <v>6188.192</v>
      </c>
      <c r="Z43" s="41">
        <f>2165180/1000</f>
        <v>2165.1799999999998</v>
      </c>
    </row>
    <row r="44" spans="1:26" s="40" customFormat="1" ht="9">
      <c r="A44" s="36" t="s">
        <v>67</v>
      </c>
      <c r="B44" s="36"/>
      <c r="C44" s="36">
        <v>217605.82199999999</v>
      </c>
      <c r="D44" s="36">
        <f>4723.804+875.037+1513.795</f>
        <v>7112.6360000000004</v>
      </c>
      <c r="E44" s="36">
        <f t="shared" si="0"/>
        <v>224718.45799999998</v>
      </c>
      <c r="F44" s="36"/>
      <c r="G44" s="36"/>
      <c r="H44" s="36"/>
      <c r="I44" s="36"/>
      <c r="J44" s="36"/>
      <c r="K44" s="36"/>
      <c r="L44" s="36"/>
      <c r="M44" s="46">
        <f t="shared" si="1"/>
        <v>224718.45800000001</v>
      </c>
      <c r="N44" s="36">
        <f>23365508/1000</f>
        <v>23365.508000000002</v>
      </c>
      <c r="O44" s="36">
        <f>118148414/1000</f>
        <v>118148.414</v>
      </c>
      <c r="P44" s="50" t="s">
        <v>47</v>
      </c>
      <c r="Q44" s="36"/>
      <c r="R44" s="36">
        <f t="shared" si="2"/>
        <v>141513.92200000002</v>
      </c>
      <c r="S44" s="36">
        <f>15465621/1000</f>
        <v>15465.620999999999</v>
      </c>
      <c r="T44" s="36">
        <v>0</v>
      </c>
      <c r="U44" s="36">
        <f>2220531/1000</f>
        <v>2220.5309999999999</v>
      </c>
      <c r="V44" s="36">
        <f>58042356/1000</f>
        <v>58042.356</v>
      </c>
      <c r="W44" s="51">
        <f t="shared" si="3"/>
        <v>75728.508000000002</v>
      </c>
      <c r="X44" s="36">
        <f>(757706+377966+2168)/1000</f>
        <v>1137.8399999999999</v>
      </c>
      <c r="Y44" s="36">
        <f>4173386/1000</f>
        <v>4173.3860000000004</v>
      </c>
      <c r="Z44" s="36">
        <f>2164802/1000</f>
        <v>2164.8020000000001</v>
      </c>
    </row>
    <row r="45" spans="1:26" s="45" customFormat="1" ht="9">
      <c r="A45" s="41" t="s">
        <v>68</v>
      </c>
      <c r="B45" s="54"/>
      <c r="C45" s="41">
        <v>225044.22</v>
      </c>
      <c r="D45" s="41">
        <f>5012.373+890.037+1639.061</f>
        <v>7541.4709999999995</v>
      </c>
      <c r="E45" s="41">
        <f t="shared" si="0"/>
        <v>232585.69099999999</v>
      </c>
      <c r="F45" s="41"/>
      <c r="G45" s="41"/>
      <c r="H45" s="41"/>
      <c r="I45" s="41"/>
      <c r="J45" s="41"/>
      <c r="K45" s="41"/>
      <c r="L45" s="41"/>
      <c r="M45" s="46">
        <f t="shared" si="1"/>
        <v>232585.68900000001</v>
      </c>
      <c r="N45" s="41">
        <f>23465508/1000</f>
        <v>23465.508000000002</v>
      </c>
      <c r="O45" s="41">
        <f>122391132/1000</f>
        <v>122391.132</v>
      </c>
      <c r="P45" s="52" t="s">
        <v>47</v>
      </c>
      <c r="Q45" s="41"/>
      <c r="R45" s="41">
        <f t="shared" si="2"/>
        <v>145856.64000000001</v>
      </c>
      <c r="S45" s="41">
        <f>14665621/1000</f>
        <v>14665.620999999999</v>
      </c>
      <c r="T45" s="41">
        <v>0</v>
      </c>
      <c r="U45" s="41">
        <f>2220531/1000</f>
        <v>2220.5309999999999</v>
      </c>
      <c r="V45" s="41">
        <f>62842356/1000</f>
        <v>62842.356</v>
      </c>
      <c r="W45" s="53">
        <f t="shared" si="3"/>
        <v>79728.508000000002</v>
      </c>
      <c r="X45" s="41">
        <f>(729421+423749+6168)/1000</f>
        <v>1159.338</v>
      </c>
      <c r="Y45" s="41">
        <v>3646.4</v>
      </c>
      <c r="Z45" s="41">
        <f>2194803/1000</f>
        <v>2194.8029999999999</v>
      </c>
    </row>
    <row r="46" spans="1:26" s="45" customFormat="1" ht="9">
      <c r="A46" s="41" t="s">
        <v>69</v>
      </c>
      <c r="B46" s="54"/>
      <c r="C46" s="55">
        <v>232609.3</v>
      </c>
      <c r="D46" s="55">
        <f>5394.3+875+1639.1</f>
        <v>7908.4</v>
      </c>
      <c r="E46" s="41">
        <f t="shared" si="0"/>
        <v>240517.69999999998</v>
      </c>
      <c r="F46" s="41"/>
      <c r="G46" s="41"/>
      <c r="H46" s="41"/>
      <c r="I46" s="41"/>
      <c r="J46" s="41"/>
      <c r="K46" s="41"/>
      <c r="L46" s="41"/>
      <c r="M46" s="46">
        <f t="shared" si="1"/>
        <v>240517.68799999999</v>
      </c>
      <c r="N46" s="41">
        <v>25220.2</v>
      </c>
      <c r="O46" s="41">
        <v>126642.4</v>
      </c>
      <c r="P46" s="52"/>
      <c r="Q46" s="41"/>
      <c r="R46" s="41">
        <f t="shared" si="2"/>
        <v>151862.6</v>
      </c>
      <c r="S46" s="41">
        <v>14641.4</v>
      </c>
      <c r="T46" s="41">
        <v>0</v>
      </c>
      <c r="U46" s="41">
        <v>2310.5</v>
      </c>
      <c r="V46" s="41">
        <v>63054.5</v>
      </c>
      <c r="W46" s="53">
        <f t="shared" si="3"/>
        <v>80006.399999999994</v>
      </c>
      <c r="X46" s="41">
        <f>(723421+425199+6668)/1000</f>
        <v>1155.288</v>
      </c>
      <c r="Y46" s="41">
        <v>4853.3999999999996</v>
      </c>
      <c r="Z46" s="41">
        <v>2640</v>
      </c>
    </row>
    <row r="47" spans="1:26" s="45" customFormat="1" ht="9">
      <c r="A47" s="41" t="s">
        <v>70</v>
      </c>
      <c r="B47" s="54"/>
      <c r="C47" s="55">
        <v>239051.016</v>
      </c>
      <c r="D47" s="55">
        <v>8260.9760000000006</v>
      </c>
      <c r="E47" s="41">
        <f t="shared" si="0"/>
        <v>247311.992</v>
      </c>
      <c r="F47" s="41"/>
      <c r="G47" s="41"/>
      <c r="H47" s="41"/>
      <c r="I47" s="41"/>
      <c r="J47" s="41"/>
      <c r="K47" s="41"/>
      <c r="L47" s="41"/>
      <c r="M47" s="46">
        <f t="shared" si="1"/>
        <v>247311.992</v>
      </c>
      <c r="N47" s="41">
        <v>24408.421999999999</v>
      </c>
      <c r="O47" s="41">
        <v>136320.552</v>
      </c>
      <c r="P47" s="52"/>
      <c r="Q47" s="41"/>
      <c r="R47" s="41">
        <f t="shared" si="2"/>
        <v>160728.97399999999</v>
      </c>
      <c r="S47" s="41">
        <v>14572.986000000001</v>
      </c>
      <c r="T47" s="41">
        <v>0</v>
      </c>
      <c r="U47" s="41">
        <v>2488.538</v>
      </c>
      <c r="V47" s="41">
        <v>57704.95</v>
      </c>
      <c r="W47" s="53">
        <f t="shared" si="3"/>
        <v>74766.474000000002</v>
      </c>
      <c r="X47" s="41">
        <v>1153.32</v>
      </c>
      <c r="Y47" s="41">
        <v>8361.0840000000007</v>
      </c>
      <c r="Z47" s="41">
        <v>2302.14</v>
      </c>
    </row>
    <row r="48" spans="1:26" s="40" customFormat="1" ht="9">
      <c r="A48" s="36" t="s">
        <v>71</v>
      </c>
      <c r="B48" s="56"/>
      <c r="C48" s="57">
        <v>244145.4</v>
      </c>
      <c r="D48" s="57">
        <f>4659+2479</f>
        <v>7138</v>
      </c>
      <c r="E48" s="36">
        <f t="shared" si="0"/>
        <v>251283.4</v>
      </c>
      <c r="F48" s="36"/>
      <c r="G48" s="36"/>
      <c r="H48" s="36"/>
      <c r="I48" s="36"/>
      <c r="J48" s="36"/>
      <c r="K48" s="36"/>
      <c r="L48" s="36"/>
      <c r="M48" s="46">
        <f t="shared" si="1"/>
        <v>251283.3</v>
      </c>
      <c r="N48" s="36">
        <v>28471</v>
      </c>
      <c r="O48" s="36">
        <v>138189.9</v>
      </c>
      <c r="P48" s="50"/>
      <c r="Q48" s="36"/>
      <c r="R48" s="36">
        <f t="shared" si="2"/>
        <v>166660.9</v>
      </c>
      <c r="S48" s="36">
        <v>15390.4</v>
      </c>
      <c r="T48" s="36">
        <v>0</v>
      </c>
      <c r="U48" s="36">
        <v>2780</v>
      </c>
      <c r="V48" s="36">
        <v>60520</v>
      </c>
      <c r="W48" s="51">
        <f t="shared" si="3"/>
        <v>78690.399999999994</v>
      </c>
      <c r="X48" s="36">
        <v>1181</v>
      </c>
      <c r="Y48" s="36">
        <v>2521</v>
      </c>
      <c r="Z48" s="36">
        <v>2230</v>
      </c>
    </row>
    <row r="49" spans="1:26" s="45" customFormat="1" ht="9">
      <c r="A49" s="41" t="s">
        <v>72</v>
      </c>
      <c r="B49" s="54"/>
      <c r="C49" s="55">
        <v>255207.98300000001</v>
      </c>
      <c r="D49" s="55">
        <v>9235.5750000000007</v>
      </c>
      <c r="E49" s="41">
        <f t="shared" si="0"/>
        <v>264443.55800000002</v>
      </c>
      <c r="F49" s="41"/>
      <c r="G49" s="41"/>
      <c r="H49" s="41"/>
      <c r="I49" s="41"/>
      <c r="J49" s="41"/>
      <c r="K49" s="41"/>
      <c r="L49" s="41"/>
      <c r="M49" s="46">
        <f t="shared" si="1"/>
        <v>264443.55800000002</v>
      </c>
      <c r="N49" s="41">
        <v>34721.739000000001</v>
      </c>
      <c r="O49" s="41">
        <v>145845.603</v>
      </c>
      <c r="P49" s="52"/>
      <c r="Q49" s="41"/>
      <c r="R49" s="41">
        <f t="shared" si="2"/>
        <v>180567.342</v>
      </c>
      <c r="S49" s="41">
        <v>13988.044</v>
      </c>
      <c r="T49" s="41">
        <v>0</v>
      </c>
      <c r="U49" s="41">
        <v>3056.6280000000002</v>
      </c>
      <c r="V49" s="41">
        <v>56000</v>
      </c>
      <c r="W49" s="53">
        <f t="shared" si="3"/>
        <v>73044.671999999991</v>
      </c>
      <c r="X49" s="41">
        <f>444.645+745.729+14.762</f>
        <v>1205.136</v>
      </c>
      <c r="Y49" s="41">
        <v>7044.8829999999998</v>
      </c>
      <c r="Z49" s="41">
        <v>2581.5250000000001</v>
      </c>
    </row>
    <row r="50" spans="1:26" s="45" customFormat="1" ht="9">
      <c r="A50" s="41" t="s">
        <v>73</v>
      </c>
      <c r="B50" s="54"/>
      <c r="C50" s="55">
        <v>260101.31299999999</v>
      </c>
      <c r="D50" s="55">
        <v>10110.621999999999</v>
      </c>
      <c r="E50" s="41">
        <f t="shared" si="0"/>
        <v>270211.935</v>
      </c>
      <c r="F50" s="41"/>
      <c r="G50" s="41"/>
      <c r="H50" s="41"/>
      <c r="I50" s="41"/>
      <c r="J50" s="41"/>
      <c r="K50" s="41"/>
      <c r="L50" s="41"/>
      <c r="M50" s="46">
        <f t="shared" si="1"/>
        <v>270211.93499999994</v>
      </c>
      <c r="N50" s="41">
        <v>35959.964</v>
      </c>
      <c r="O50" s="41">
        <v>152900.87599999999</v>
      </c>
      <c r="P50" s="52"/>
      <c r="Q50" s="41"/>
      <c r="R50" s="41">
        <f t="shared" si="2"/>
        <v>188860.84</v>
      </c>
      <c r="S50" s="41">
        <v>14488.044</v>
      </c>
      <c r="T50" s="41">
        <v>0</v>
      </c>
      <c r="U50" s="41">
        <v>4576.6279999999997</v>
      </c>
      <c r="V50" s="41">
        <v>56950</v>
      </c>
      <c r="W50" s="53">
        <f t="shared" si="3"/>
        <v>76014.671999999991</v>
      </c>
      <c r="X50" s="41">
        <f>718.729+390.189+23.518</f>
        <v>1132.4360000000001</v>
      </c>
      <c r="Y50" s="41">
        <v>1600.019</v>
      </c>
      <c r="Z50" s="41">
        <v>2603.9679999999998</v>
      </c>
    </row>
    <row r="51" spans="1:26" s="45" customFormat="1" ht="9">
      <c r="A51" s="41" t="s">
        <v>74</v>
      </c>
      <c r="B51" s="54"/>
      <c r="C51" s="55">
        <v>265101.31258500001</v>
      </c>
      <c r="D51" s="55">
        <v>9772.6630000000296</v>
      </c>
      <c r="E51" s="41">
        <f t="shared" si="0"/>
        <v>274873.97558500001</v>
      </c>
      <c r="F51" s="41"/>
      <c r="G51" s="41"/>
      <c r="H51" s="41"/>
      <c r="I51" s="41"/>
      <c r="J51" s="41"/>
      <c r="K51" s="41"/>
      <c r="L51" s="41"/>
      <c r="M51" s="46">
        <f t="shared" si="1"/>
        <v>274873.9754691</v>
      </c>
      <c r="N51" s="41">
        <v>37649.792000000001</v>
      </c>
      <c r="O51" s="41">
        <v>155539.34646910001</v>
      </c>
      <c r="P51" s="52"/>
      <c r="Q51" s="41"/>
      <c r="R51" s="41">
        <f t="shared" si="2"/>
        <v>193189.1384691</v>
      </c>
      <c r="S51" s="41">
        <v>14488.044</v>
      </c>
      <c r="T51" s="41">
        <v>0</v>
      </c>
      <c r="U51" s="41">
        <v>3061.2060000000001</v>
      </c>
      <c r="V51" s="41">
        <v>56950</v>
      </c>
      <c r="W51" s="53">
        <f t="shared" si="3"/>
        <v>74499.25</v>
      </c>
      <c r="X51" s="41">
        <v>1194.4359999999999</v>
      </c>
      <c r="Y51" s="41">
        <v>3387.183</v>
      </c>
      <c r="Z51" s="41">
        <v>2603.9679999999998</v>
      </c>
    </row>
    <row r="52" spans="1:26" s="40" customFormat="1" ht="9">
      <c r="A52" s="36" t="s">
        <v>75</v>
      </c>
      <c r="B52" s="56"/>
      <c r="C52" s="57">
        <f>285204.535</f>
        <v>285204.53499999997</v>
      </c>
      <c r="D52" s="57">
        <v>11177.629918389999</v>
      </c>
      <c r="E52" s="36">
        <f t="shared" si="0"/>
        <v>296382.16491838999</v>
      </c>
      <c r="F52" s="36"/>
      <c r="G52" s="36"/>
      <c r="H52" s="36"/>
      <c r="I52" s="36"/>
      <c r="J52" s="36"/>
      <c r="K52" s="36"/>
      <c r="L52" s="36"/>
      <c r="M52" s="46">
        <f t="shared" si="1"/>
        <v>296382.15499999997</v>
      </c>
      <c r="N52" s="36">
        <v>40354.92</v>
      </c>
      <c r="O52" s="36">
        <v>178182.61300000001</v>
      </c>
      <c r="P52" s="50"/>
      <c r="Q52" s="36"/>
      <c r="R52" s="36">
        <f t="shared" si="2"/>
        <v>218537.533</v>
      </c>
      <c r="S52" s="36">
        <v>14988.044</v>
      </c>
      <c r="T52" s="36">
        <v>0</v>
      </c>
      <c r="U52" s="36">
        <v>4806.6279999999997</v>
      </c>
      <c r="V52" s="36">
        <v>52500</v>
      </c>
      <c r="W52" s="51">
        <f t="shared" si="3"/>
        <v>72294.671999999991</v>
      </c>
      <c r="X52" s="36">
        <f>750+600</f>
        <v>1350</v>
      </c>
      <c r="Y52" s="36">
        <v>1926.77</v>
      </c>
      <c r="Z52" s="36">
        <f>54.68+2218.5</f>
        <v>2273.1799999999998</v>
      </c>
    </row>
    <row r="53" spans="1:26" s="45" customFormat="1" ht="9">
      <c r="A53" s="41" t="s">
        <v>76</v>
      </c>
      <c r="B53" s="54"/>
      <c r="C53" s="55">
        <v>287106.599774</v>
      </c>
      <c r="D53" s="55">
        <v>14439.577547000001</v>
      </c>
      <c r="E53" s="41">
        <f t="shared" si="0"/>
        <v>301546.17732100002</v>
      </c>
      <c r="F53" s="41"/>
      <c r="G53" s="41"/>
      <c r="H53" s="41"/>
      <c r="I53" s="41"/>
      <c r="J53" s="41"/>
      <c r="K53" s="41"/>
      <c r="L53" s="41"/>
      <c r="M53" s="46">
        <f t="shared" si="1"/>
        <v>301546.17818600003</v>
      </c>
      <c r="N53" s="41">
        <v>47772.661254999999</v>
      </c>
      <c r="O53" s="41">
        <v>169992.10037999999</v>
      </c>
      <c r="P53" s="52"/>
      <c r="Q53" s="41"/>
      <c r="R53" s="41">
        <f t="shared" si="2"/>
        <v>217764.761635</v>
      </c>
      <c r="S53" s="41">
        <v>14461.194939000001</v>
      </c>
      <c r="T53" s="41">
        <v>0</v>
      </c>
      <c r="U53" s="41">
        <v>5380.3655360000002</v>
      </c>
      <c r="V53" s="41">
        <v>55207.7</v>
      </c>
      <c r="W53" s="53">
        <f t="shared" si="3"/>
        <v>75049.260475000003</v>
      </c>
      <c r="X53" s="41">
        <f>701.2+455.5</f>
        <v>1156.7</v>
      </c>
      <c r="Y53" s="41">
        <v>4413.9001260000005</v>
      </c>
      <c r="Z53" s="41">
        <v>3161.5559500000004</v>
      </c>
    </row>
    <row r="54" spans="1:26" s="45" customFormat="1" ht="9">
      <c r="A54" s="41" t="s">
        <v>77</v>
      </c>
      <c r="B54" s="54"/>
      <c r="C54" s="55">
        <v>301807.79155800003</v>
      </c>
      <c r="D54" s="55">
        <v>13789.465195000001</v>
      </c>
      <c r="E54" s="41">
        <f t="shared" si="0"/>
        <v>315597.25675300002</v>
      </c>
      <c r="F54" s="41"/>
      <c r="G54" s="41"/>
      <c r="H54" s="41"/>
      <c r="I54" s="41"/>
      <c r="J54" s="41"/>
      <c r="K54" s="41"/>
      <c r="L54" s="41"/>
      <c r="M54" s="46">
        <f t="shared" si="1"/>
        <v>315597.25675300002</v>
      </c>
      <c r="N54" s="41">
        <v>47332.123540000001</v>
      </c>
      <c r="O54" s="41">
        <v>179873.75907299999</v>
      </c>
      <c r="P54" s="52"/>
      <c r="Q54" s="41"/>
      <c r="R54" s="41">
        <f t="shared" si="2"/>
        <v>227205.88261299999</v>
      </c>
      <c r="S54" s="41">
        <v>2207.1199390000002</v>
      </c>
      <c r="T54" s="41">
        <v>0</v>
      </c>
      <c r="U54" s="41">
        <v>6457.4822359999998</v>
      </c>
      <c r="V54" s="41">
        <v>69732.25</v>
      </c>
      <c r="W54" s="53">
        <f t="shared" si="3"/>
        <v>78396.852175000007</v>
      </c>
      <c r="X54" s="41">
        <f>702.883133+460.036002</f>
        <v>1162.9191350000001</v>
      </c>
      <c r="Y54" s="41">
        <v>5667.1780699999999</v>
      </c>
      <c r="Z54" s="41">
        <v>3164.4247599999999</v>
      </c>
    </row>
    <row r="55" spans="1:26" s="40" customFormat="1" ht="9">
      <c r="A55" s="36" t="s">
        <v>78</v>
      </c>
      <c r="B55" s="56"/>
      <c r="C55" s="57">
        <v>293858.90000000002</v>
      </c>
      <c r="D55" s="57">
        <f>29362.5+2045.6+1146.6</f>
        <v>32554.699999999997</v>
      </c>
      <c r="E55" s="36">
        <f t="shared" si="0"/>
        <v>326413.60000000003</v>
      </c>
      <c r="F55" s="36"/>
      <c r="G55" s="36"/>
      <c r="H55" s="36"/>
      <c r="I55" s="36"/>
      <c r="J55" s="36"/>
      <c r="K55" s="36"/>
      <c r="L55" s="36"/>
      <c r="M55" s="46">
        <f t="shared" si="1"/>
        <v>326413.5</v>
      </c>
      <c r="N55" s="36">
        <v>48615</v>
      </c>
      <c r="O55" s="36">
        <f>1326.4+176524.8</f>
        <v>177851.19999999998</v>
      </c>
      <c r="P55" s="50"/>
      <c r="Q55" s="36"/>
      <c r="R55" s="36">
        <f t="shared" si="2"/>
        <v>226466.19999999998</v>
      </c>
      <c r="S55" s="36">
        <v>0</v>
      </c>
      <c r="T55" s="36">
        <v>0</v>
      </c>
      <c r="U55" s="36">
        <v>18803.7</v>
      </c>
      <c r="V55" s="36">
        <v>75545.899999999994</v>
      </c>
      <c r="W55" s="51">
        <f t="shared" si="3"/>
        <v>94349.599999999991</v>
      </c>
      <c r="X55" s="36">
        <f>691.2+474.8+6.6</f>
        <v>1172.5999999999999</v>
      </c>
      <c r="Y55" s="36">
        <v>2463.9</v>
      </c>
      <c r="Z55" s="36">
        <v>1961.2</v>
      </c>
    </row>
    <row r="56" spans="1:26" s="45" customFormat="1" ht="9">
      <c r="A56" s="41" t="s">
        <v>79</v>
      </c>
      <c r="B56" s="54"/>
      <c r="C56" s="55">
        <v>309848.36700000003</v>
      </c>
      <c r="D56" s="55">
        <f>28487.354057+1309.481917+3078.417858</f>
        <v>32875.253832000002</v>
      </c>
      <c r="E56" s="41">
        <f t="shared" si="0"/>
        <v>342723.62083200004</v>
      </c>
      <c r="F56" s="41"/>
      <c r="G56" s="41"/>
      <c r="H56" s="41"/>
      <c r="I56" s="41"/>
      <c r="J56" s="41"/>
      <c r="K56" s="41"/>
      <c r="L56" s="41"/>
      <c r="M56" s="46">
        <f t="shared" si="1"/>
        <v>342723.66819746996</v>
      </c>
      <c r="N56" s="41">
        <v>52280.43</v>
      </c>
      <c r="O56" s="41">
        <v>180786.71751300001</v>
      </c>
      <c r="P56" s="52"/>
      <c r="Q56" s="41"/>
      <c r="R56" s="41">
        <f t="shared" si="2"/>
        <v>233067.147513</v>
      </c>
      <c r="S56" s="41">
        <v>525.66800000000001</v>
      </c>
      <c r="T56" s="41">
        <v>0</v>
      </c>
      <c r="U56" s="41">
        <v>22466.613229999999</v>
      </c>
      <c r="V56" s="41">
        <v>78318.100000000006</v>
      </c>
      <c r="W56" s="53">
        <f t="shared" si="3"/>
        <v>101310.38123</v>
      </c>
      <c r="X56" s="41">
        <f>712.346+497.996+17.499</f>
        <v>1227.8410000000001</v>
      </c>
      <c r="Y56" s="41">
        <v>3214.5264544699708</v>
      </c>
      <c r="Z56" s="41">
        <v>3903.7719999999999</v>
      </c>
    </row>
    <row r="57" spans="1:26" s="45" customFormat="1" ht="9">
      <c r="A57" s="41" t="s">
        <v>80</v>
      </c>
      <c r="B57" s="54"/>
      <c r="C57" s="55">
        <v>315258.70335779799</v>
      </c>
      <c r="D57" s="55">
        <f>32664.2+4249.2</f>
        <v>36913.4</v>
      </c>
      <c r="E57" s="41">
        <f t="shared" si="0"/>
        <v>352172.10335779801</v>
      </c>
      <c r="F57" s="41"/>
      <c r="G57" s="41"/>
      <c r="H57" s="41"/>
      <c r="I57" s="41"/>
      <c r="J57" s="41"/>
      <c r="K57" s="41"/>
      <c r="L57" s="41"/>
      <c r="M57" s="46">
        <f t="shared" si="1"/>
        <v>352172.13947012502</v>
      </c>
      <c r="N57" s="41">
        <v>55643.1</v>
      </c>
      <c r="O57" s="41">
        <v>186230.98026581955</v>
      </c>
      <c r="P57" s="52"/>
      <c r="Q57" s="41"/>
      <c r="R57" s="41">
        <f t="shared" si="2"/>
        <v>241874.08026581956</v>
      </c>
      <c r="S57" s="41">
        <v>0</v>
      </c>
      <c r="T57" s="41">
        <v>0</v>
      </c>
      <c r="U57" s="41">
        <v>24537.194461999999</v>
      </c>
      <c r="V57" s="41">
        <v>80851.399999999994</v>
      </c>
      <c r="W57" s="53">
        <f t="shared" si="3"/>
        <v>105388.59446199999</v>
      </c>
      <c r="X57" s="41">
        <f>708.76663506+592.9890435+7.0878852</f>
        <v>1308.8435637600001</v>
      </c>
      <c r="Y57" s="41">
        <v>2467.2445320454713</v>
      </c>
      <c r="Z57" s="41">
        <v>1133.3766465000001</v>
      </c>
    </row>
    <row r="58" spans="1:26" s="45" customFormat="1" ht="9">
      <c r="A58" s="41" t="s">
        <v>81</v>
      </c>
      <c r="B58" s="54"/>
      <c r="C58" s="55">
        <v>323746.29898433748</v>
      </c>
      <c r="D58" s="55">
        <f>32635.4567361654+24.325007+4372.7</f>
        <v>37032.481743165401</v>
      </c>
      <c r="E58" s="41">
        <f t="shared" si="0"/>
        <v>360778.78072750289</v>
      </c>
      <c r="F58" s="41"/>
      <c r="G58" s="41"/>
      <c r="H58" s="41"/>
      <c r="I58" s="41"/>
      <c r="J58" s="41"/>
      <c r="K58" s="41"/>
      <c r="L58" s="41"/>
      <c r="M58" s="46">
        <f t="shared" si="1"/>
        <v>360778.76300000004</v>
      </c>
      <c r="N58" s="41">
        <v>56750.9</v>
      </c>
      <c r="O58" s="41">
        <f>188462.2+1618.6</f>
        <v>190080.80000000002</v>
      </c>
      <c r="P58" s="52"/>
      <c r="Q58" s="41"/>
      <c r="R58" s="41">
        <f t="shared" si="2"/>
        <v>246831.7</v>
      </c>
      <c r="S58" s="41">
        <v>0</v>
      </c>
      <c r="T58" s="41">
        <v>0</v>
      </c>
      <c r="U58" s="41">
        <v>23552.5</v>
      </c>
      <c r="V58" s="41">
        <v>85751.4</v>
      </c>
      <c r="W58" s="53">
        <f t="shared" si="3"/>
        <v>109303.9</v>
      </c>
      <c r="X58" s="41">
        <f>713.1+613.3+6.5</f>
        <v>1332.9</v>
      </c>
      <c r="Y58" s="41">
        <v>2516.9</v>
      </c>
      <c r="Z58" s="41">
        <v>793.36300000000006</v>
      </c>
    </row>
    <row r="59" spans="1:26" s="45" customFormat="1" ht="9">
      <c r="A59" s="41" t="s">
        <v>82</v>
      </c>
      <c r="B59" s="54"/>
      <c r="C59" s="55">
        <v>333752.91800000001</v>
      </c>
      <c r="D59" s="55">
        <f>32521.171+120+5189.718</f>
        <v>37830.888999999996</v>
      </c>
      <c r="E59" s="41">
        <f t="shared" si="0"/>
        <v>371583.80700000003</v>
      </c>
      <c r="F59" s="41"/>
      <c r="G59" s="41"/>
      <c r="H59" s="41"/>
      <c r="I59" s="41"/>
      <c r="J59" s="41"/>
      <c r="K59" s="41"/>
      <c r="L59" s="41"/>
      <c r="M59" s="46">
        <f t="shared" si="1"/>
        <v>371583.76599999995</v>
      </c>
      <c r="N59" s="41">
        <v>58722.9</v>
      </c>
      <c r="O59" s="41">
        <f>194776.417+1519.433</f>
        <v>196295.84999999998</v>
      </c>
      <c r="P59" s="52"/>
      <c r="Q59" s="41"/>
      <c r="R59" s="41">
        <f t="shared" si="2"/>
        <v>255018.74999999997</v>
      </c>
      <c r="S59" s="41">
        <v>0</v>
      </c>
      <c r="T59" s="41">
        <v>0</v>
      </c>
      <c r="U59" s="41">
        <v>21369.489999999998</v>
      </c>
      <c r="V59" s="41">
        <v>90801.4</v>
      </c>
      <c r="W59" s="53">
        <f t="shared" si="3"/>
        <v>112170.88999999998</v>
      </c>
      <c r="X59" s="41">
        <f>712.894+550.34+6.3</f>
        <v>1269.5339999999999</v>
      </c>
      <c r="Y59" s="41">
        <v>2414.6999999999998</v>
      </c>
      <c r="Z59" s="41">
        <v>709.89200000000005</v>
      </c>
    </row>
    <row r="60" spans="1:26" s="40" customFormat="1" ht="9">
      <c r="A60" s="36" t="s">
        <v>131</v>
      </c>
      <c r="B60" s="56"/>
      <c r="C60" s="57">
        <v>349631.35</v>
      </c>
      <c r="D60" s="57">
        <f>29463.46+1365.14+3549.34</f>
        <v>34377.94</v>
      </c>
      <c r="E60" s="36">
        <f t="shared" si="0"/>
        <v>384009.29</v>
      </c>
      <c r="F60" s="36"/>
      <c r="G60" s="36"/>
      <c r="H60" s="36"/>
      <c r="I60" s="36"/>
      <c r="J60" s="36"/>
      <c r="K60" s="36"/>
      <c r="L60" s="36"/>
      <c r="M60" s="46">
        <f t="shared" si="1"/>
        <v>384009.29</v>
      </c>
      <c r="N60" s="36">
        <v>61413.24</v>
      </c>
      <c r="O60" s="36">
        <v>190916.16</v>
      </c>
      <c r="P60" s="50"/>
      <c r="Q60" s="36"/>
      <c r="R60" s="36">
        <f t="shared" si="2"/>
        <v>252329.4</v>
      </c>
      <c r="S60" s="36">
        <v>775.98</v>
      </c>
      <c r="T60" s="36">
        <v>0</v>
      </c>
      <c r="U60" s="36">
        <v>22061.86</v>
      </c>
      <c r="V60" s="36">
        <v>101897.5</v>
      </c>
      <c r="W60" s="51">
        <f t="shared" si="3"/>
        <v>124735.34</v>
      </c>
      <c r="X60" s="36">
        <v>1250.47</v>
      </c>
      <c r="Y60" s="36">
        <v>2974.49</v>
      </c>
      <c r="Z60" s="36">
        <v>2719.59</v>
      </c>
    </row>
    <row r="61" spans="1:26" s="45" customFormat="1" ht="9">
      <c r="A61" s="41" t="s">
        <v>126</v>
      </c>
      <c r="B61" s="54"/>
      <c r="C61" s="55">
        <v>366607.2</v>
      </c>
      <c r="D61" s="55">
        <f>34455.2+577.4+1278.2+3833.1</f>
        <v>40143.899999999994</v>
      </c>
      <c r="E61" s="41">
        <f t="shared" si="0"/>
        <v>406751.1</v>
      </c>
      <c r="F61" s="41"/>
      <c r="G61" s="41"/>
      <c r="H61" s="41"/>
      <c r="I61" s="41"/>
      <c r="J61" s="41"/>
      <c r="K61" s="41"/>
      <c r="L61" s="41"/>
      <c r="M61" s="51">
        <f t="shared" si="1"/>
        <v>406751.08845201437</v>
      </c>
      <c r="N61" s="41">
        <v>63197.8</v>
      </c>
      <c r="O61" s="41">
        <f>195118.9+1785.1</f>
        <v>196904</v>
      </c>
      <c r="P61" s="52"/>
      <c r="Q61" s="41"/>
      <c r="R61" s="41">
        <f t="shared" si="2"/>
        <v>260101.8</v>
      </c>
      <c r="S61" s="41">
        <v>0</v>
      </c>
      <c r="T61" s="41">
        <v>0</v>
      </c>
      <c r="U61" s="41">
        <v>27640.388452014402</v>
      </c>
      <c r="V61" s="41">
        <v>113470.8</v>
      </c>
      <c r="W61" s="53">
        <f t="shared" si="3"/>
        <v>141111.18845201441</v>
      </c>
      <c r="X61" s="41">
        <f>770.4+720.2</f>
        <v>1490.6</v>
      </c>
      <c r="Y61" s="41">
        <v>3037.6</v>
      </c>
      <c r="Z61" s="41">
        <f>1003.2+6.7</f>
        <v>1009.9000000000001</v>
      </c>
    </row>
    <row r="62" spans="1:26" s="45" customFormat="1" ht="9">
      <c r="A62" s="41" t="s">
        <v>127</v>
      </c>
      <c r="B62" s="54"/>
      <c r="C62" s="55">
        <v>369604.94110400003</v>
      </c>
      <c r="D62" s="55">
        <f>802.997058+35839.130169+1037.86147+3539.997718</f>
        <v>41219.986414999999</v>
      </c>
      <c r="E62" s="41">
        <f t="shared" si="0"/>
        <v>410824.92751900002</v>
      </c>
      <c r="F62" s="41"/>
      <c r="G62" s="41"/>
      <c r="H62" s="41"/>
      <c r="I62" s="41"/>
      <c r="J62" s="41"/>
      <c r="K62" s="41"/>
      <c r="L62" s="41"/>
      <c r="M62" s="51">
        <f t="shared" si="1"/>
        <v>410824.92751862342</v>
      </c>
      <c r="N62" s="41">
        <v>62795.817088366995</v>
      </c>
      <c r="O62" s="41">
        <f>197177.445043+1623.444163</f>
        <v>198800.88920600002</v>
      </c>
      <c r="P62" s="52"/>
      <c r="Q62" s="41"/>
      <c r="R62" s="41">
        <f t="shared" si="2"/>
        <v>261596.70629436703</v>
      </c>
      <c r="S62" s="41">
        <v>320</v>
      </c>
      <c r="T62" s="41">
        <v>0</v>
      </c>
      <c r="U62" s="41">
        <v>28445.645639999999</v>
      </c>
      <c r="V62" s="41">
        <v>115951.4</v>
      </c>
      <c r="W62" s="53">
        <f t="shared" si="3"/>
        <v>144717.04564</v>
      </c>
      <c r="X62" s="41">
        <f>700.938685+732.895423876408</f>
        <v>1433.834108876408</v>
      </c>
      <c r="Y62" s="41">
        <v>1928.84989638</v>
      </c>
      <c r="Z62" s="41">
        <f>1113.590032+34.901547</f>
        <v>1148.491579</v>
      </c>
    </row>
    <row r="63" spans="1:26" s="45" customFormat="1" ht="9">
      <c r="A63" s="41" t="s">
        <v>128</v>
      </c>
      <c r="B63" s="54"/>
      <c r="C63" s="55">
        <v>380543.10687999998</v>
      </c>
      <c r="D63" s="55">
        <v>43544.768274999995</v>
      </c>
      <c r="E63" s="41">
        <v>424087.87515499996</v>
      </c>
      <c r="F63" s="41"/>
      <c r="G63" s="41"/>
      <c r="H63" s="41"/>
      <c r="I63" s="41"/>
      <c r="J63" s="41"/>
      <c r="K63" s="41"/>
      <c r="L63" s="41"/>
      <c r="M63" s="51">
        <v>424087.87515500002</v>
      </c>
      <c r="N63" s="41">
        <v>66287.053392000002</v>
      </c>
      <c r="O63" s="41">
        <v>200277.86984699999</v>
      </c>
      <c r="P63" s="52"/>
      <c r="Q63" s="41"/>
      <c r="R63" s="41">
        <v>266564.92323900003</v>
      </c>
      <c r="S63" s="41">
        <v>320</v>
      </c>
      <c r="T63" s="41">
        <v>0</v>
      </c>
      <c r="U63" s="41">
        <v>32878.657035000004</v>
      </c>
      <c r="V63" s="41">
        <v>120101.4</v>
      </c>
      <c r="W63" s="53">
        <v>153300.05703500001</v>
      </c>
      <c r="X63" s="41">
        <v>1414.000196</v>
      </c>
      <c r="Y63" s="41">
        <v>1526.7059859999999</v>
      </c>
      <c r="Z63" s="41">
        <v>1282.188699</v>
      </c>
    </row>
    <row r="64" spans="1:26" s="40" customFormat="1" ht="9">
      <c r="A64" s="36" t="s">
        <v>129</v>
      </c>
      <c r="B64" s="56"/>
      <c r="C64" s="57">
        <v>396632.86054700002</v>
      </c>
      <c r="D64" s="57">
        <v>46202.917889000004</v>
      </c>
      <c r="E64" s="36">
        <v>442835.77843599999</v>
      </c>
      <c r="F64" s="36"/>
      <c r="G64" s="36"/>
      <c r="H64" s="36"/>
      <c r="I64" s="36"/>
      <c r="J64" s="36"/>
      <c r="K64" s="36"/>
      <c r="L64" s="36"/>
      <c r="M64" s="51">
        <v>442835.77843599999</v>
      </c>
      <c r="N64" s="36">
        <v>68444.320844000002</v>
      </c>
      <c r="O64" s="36">
        <v>201622.568241</v>
      </c>
      <c r="P64" s="50"/>
      <c r="Q64" s="36"/>
      <c r="R64" s="36">
        <v>270066.88908500003</v>
      </c>
      <c r="S64" s="36">
        <v>320</v>
      </c>
      <c r="T64" s="36">
        <v>0</v>
      </c>
      <c r="U64" s="36">
        <v>35551.960693999994</v>
      </c>
      <c r="V64" s="36">
        <v>130770.8</v>
      </c>
      <c r="W64" s="51">
        <v>166642.760694</v>
      </c>
      <c r="X64" s="36">
        <v>1448.7331810000001</v>
      </c>
      <c r="Y64" s="36">
        <v>3235.2874919999999</v>
      </c>
      <c r="Z64" s="36">
        <v>1442.107984</v>
      </c>
    </row>
    <row r="65" spans="1:26">
      <c r="A65" s="41" t="s">
        <v>130</v>
      </c>
      <c r="B65" s="54"/>
      <c r="C65" s="55">
        <v>401016.08609900001</v>
      </c>
      <c r="D65" s="55">
        <v>44909.673860000003</v>
      </c>
      <c r="E65" s="41">
        <v>445925.75995899999</v>
      </c>
      <c r="F65" s="41"/>
      <c r="G65" s="41"/>
      <c r="H65" s="41"/>
      <c r="I65" s="41"/>
      <c r="J65" s="41"/>
      <c r="K65" s="41"/>
      <c r="L65" s="41"/>
      <c r="M65" s="51">
        <v>445925.75995899999</v>
      </c>
      <c r="N65" s="41">
        <v>69822.264922999995</v>
      </c>
      <c r="O65" s="41">
        <v>207082.79492700001</v>
      </c>
      <c r="P65" s="52"/>
      <c r="Q65" s="41"/>
      <c r="R65" s="41">
        <v>276905.05985000002</v>
      </c>
      <c r="S65" s="41">
        <v>320</v>
      </c>
      <c r="T65" s="41">
        <v>0</v>
      </c>
      <c r="U65" s="41">
        <v>32715.194554000002</v>
      </c>
      <c r="V65" s="41">
        <v>131947.79999999999</v>
      </c>
      <c r="W65" s="53">
        <v>164982.99455399998</v>
      </c>
      <c r="X65" s="41">
        <v>1393.291667</v>
      </c>
      <c r="Y65" s="41">
        <v>1107.9228619999999</v>
      </c>
      <c r="Z65" s="41">
        <v>1536.4910259999999</v>
      </c>
    </row>
    <row r="66" spans="1:26">
      <c r="A66" s="41" t="s">
        <v>124</v>
      </c>
      <c r="B66" s="54"/>
      <c r="C66" s="55">
        <v>408453.70601299999</v>
      </c>
      <c r="D66" s="55">
        <v>45890.889299046008</v>
      </c>
      <c r="E66" s="41">
        <v>454344.595312046</v>
      </c>
      <c r="F66" s="41"/>
      <c r="G66" s="41"/>
      <c r="H66" s="41"/>
      <c r="I66" s="41"/>
      <c r="J66" s="41"/>
      <c r="K66" s="41"/>
      <c r="L66" s="41"/>
      <c r="M66" s="51">
        <v>454344.59531204595</v>
      </c>
      <c r="N66" s="41">
        <v>71276.853817276002</v>
      </c>
      <c r="O66" s="41">
        <v>211729.07531104426</v>
      </c>
      <c r="P66" s="52"/>
      <c r="Q66" s="41"/>
      <c r="R66" s="41">
        <v>283005.92912832025</v>
      </c>
      <c r="S66" s="41">
        <v>320</v>
      </c>
      <c r="T66" s="41">
        <v>0</v>
      </c>
      <c r="U66" s="41">
        <v>33805.374820999998</v>
      </c>
      <c r="V66" s="41">
        <v>133561.4</v>
      </c>
      <c r="W66" s="53">
        <v>167686.774821</v>
      </c>
      <c r="X66" s="41">
        <v>1421.3619916543471</v>
      </c>
      <c r="Y66" s="41">
        <v>883.59870847137449</v>
      </c>
      <c r="Z66" s="41">
        <v>1346.9306626</v>
      </c>
    </row>
    <row r="67" spans="1:26">
      <c r="A67" s="41" t="s">
        <v>125</v>
      </c>
      <c r="B67" s="54"/>
      <c r="C67" s="55">
        <f>406705.163421979+2330.90872025613</f>
        <v>409036.07214223512</v>
      </c>
      <c r="D67" s="55">
        <f>39161.154430466+4243.19886976+1479.643014</f>
        <v>44883.996314226002</v>
      </c>
      <c r="E67" s="41">
        <f t="shared" ref="E67" si="4">C67+D67</f>
        <v>453920.06845646113</v>
      </c>
      <c r="F67" s="41"/>
      <c r="G67" s="41"/>
      <c r="H67" s="41"/>
      <c r="I67" s="41"/>
      <c r="J67" s="41"/>
      <c r="K67" s="41"/>
      <c r="L67" s="41"/>
      <c r="M67" s="51">
        <f t="shared" ref="M67:M69" si="5">R67+W67+X67+Y67+Z67</f>
        <v>453920.06845646136</v>
      </c>
      <c r="N67" s="41">
        <v>73717.399999999994</v>
      </c>
      <c r="O67" s="41">
        <f>216068.4+2388.7</f>
        <v>218457.1</v>
      </c>
      <c r="P67" s="52"/>
      <c r="Q67" s="41"/>
      <c r="R67" s="41">
        <f>N67+O67</f>
        <v>292174.5</v>
      </c>
      <c r="S67" s="41">
        <v>320</v>
      </c>
      <c r="T67" s="41">
        <v>0</v>
      </c>
      <c r="U67" s="41">
        <f>1273.698+30193.025628</f>
        <v>31466.723628</v>
      </c>
      <c r="V67" s="41">
        <v>125061.67328205695</v>
      </c>
      <c r="W67" s="53">
        <f>S67+T67+U67+V67</f>
        <v>156848.39691005694</v>
      </c>
      <c r="X67" s="41">
        <f>847.56014103+544.170211584347</f>
        <v>1391.7303526143469</v>
      </c>
      <c r="Y67" s="41">
        <v>2196.3819390700683</v>
      </c>
      <c r="Z67" s="41">
        <f>161.85823872+1147.201016</f>
        <v>1309.0592547199999</v>
      </c>
    </row>
    <row r="68" spans="1:26">
      <c r="A68" s="41"/>
      <c r="B68" s="54"/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51"/>
      <c r="N68" s="41"/>
      <c r="O68" s="41"/>
      <c r="P68" s="52"/>
      <c r="Q68" s="41"/>
      <c r="R68" s="41"/>
      <c r="S68" s="41"/>
      <c r="T68" s="41"/>
      <c r="U68" s="41"/>
      <c r="V68" s="41"/>
      <c r="W68" s="53"/>
      <c r="X68" s="41"/>
      <c r="Y68" s="41"/>
      <c r="Z68" s="41"/>
    </row>
    <row r="69" spans="1:26">
      <c r="A69" s="36" t="s">
        <v>141</v>
      </c>
      <c r="B69" s="56"/>
      <c r="C69" s="57">
        <v>416361.12890788994</v>
      </c>
      <c r="D69" s="57">
        <f>3166.03727705+34197.416920516+4279.11092586+1421.08526117</f>
        <v>43063.650384595996</v>
      </c>
      <c r="E69" s="36">
        <f>C69+D69</f>
        <v>459424.77929248591</v>
      </c>
      <c r="F69" s="41"/>
      <c r="G69" s="41"/>
      <c r="H69" s="41"/>
      <c r="I69" s="41"/>
      <c r="J69" s="41"/>
      <c r="K69" s="41"/>
      <c r="L69" s="41"/>
      <c r="M69" s="51">
        <f t="shared" si="5"/>
        <v>459424.77929248597</v>
      </c>
      <c r="N69" s="41">
        <v>75979.780458661029</v>
      </c>
      <c r="O69" s="41">
        <f>222204.35840395+2417.45365329406</f>
        <v>224621.81205724407</v>
      </c>
      <c r="P69" s="52"/>
      <c r="Q69" s="41"/>
      <c r="R69" s="41">
        <f>N69+O69</f>
        <v>300601.5925159051</v>
      </c>
      <c r="S69" s="41">
        <v>320</v>
      </c>
      <c r="T69" s="41">
        <v>0</v>
      </c>
      <c r="U69" s="41">
        <f>2210.011+25667.87942119</f>
        <v>27877.890421189997</v>
      </c>
      <c r="V69" s="41">
        <v>121411.4</v>
      </c>
      <c r="W69" s="53">
        <f>S69+T69+U69+V69</f>
        <v>149609.29042119</v>
      </c>
      <c r="X69" s="41">
        <v>1477.5841509115226</v>
      </c>
      <c r="Y69" s="41">
        <v>6487.5422995592698</v>
      </c>
      <c r="Z69" s="41">
        <v>1248.76990492</v>
      </c>
    </row>
    <row r="70" spans="1:26">
      <c r="A70" s="41" t="s">
        <v>132</v>
      </c>
      <c r="B70" s="54"/>
      <c r="C70" s="55">
        <v>427274.23365728901</v>
      </c>
      <c r="D70" s="55">
        <v>43972.008227514394</v>
      </c>
      <c r="E70" s="41">
        <f>C70+D70</f>
        <v>471246.2418848034</v>
      </c>
      <c r="F70" s="41"/>
      <c r="G70" s="41"/>
      <c r="H70" s="41"/>
      <c r="I70" s="41"/>
      <c r="J70" s="41"/>
      <c r="K70" s="41"/>
      <c r="L70" s="41"/>
      <c r="M70" s="51">
        <f>R70+W70+X70+Y70+Z70</f>
        <v>471246.24188480311</v>
      </c>
      <c r="N70" s="41">
        <v>304695.59082457097</v>
      </c>
      <c r="O70" s="41">
        <v>2320.29452857868</v>
      </c>
      <c r="P70" s="52"/>
      <c r="Q70" s="41"/>
      <c r="R70" s="41">
        <f>N70+O70</f>
        <v>307015.88535314967</v>
      </c>
      <c r="S70" s="41">
        <v>0</v>
      </c>
      <c r="T70" s="41">
        <v>0</v>
      </c>
      <c r="U70" s="41">
        <v>26239.391554000002</v>
      </c>
      <c r="V70" s="41">
        <v>125981.4</v>
      </c>
      <c r="W70" s="53">
        <f>S70+T70+U70+V70</f>
        <v>152220.791554</v>
      </c>
      <c r="X70" s="41">
        <v>1484.2642586322961</v>
      </c>
      <c r="Y70" s="41">
        <v>9168.3861130711102</v>
      </c>
      <c r="Z70" s="41">
        <v>1356.9146059500001</v>
      </c>
    </row>
    <row r="71" spans="1:26">
      <c r="A71" s="41" t="s">
        <v>134</v>
      </c>
      <c r="B71" s="54"/>
      <c r="C71" s="55">
        <v>436759.33644983801</v>
      </c>
      <c r="D71" s="55">
        <v>48397.828596760803</v>
      </c>
      <c r="E71" s="41">
        <v>485157.16504659882</v>
      </c>
      <c r="F71" s="41"/>
      <c r="G71" s="41"/>
      <c r="H71" s="41"/>
      <c r="I71" s="41"/>
      <c r="J71" s="41"/>
      <c r="K71" s="41"/>
      <c r="L71" s="41"/>
      <c r="M71" s="51">
        <v>485157.16504650074</v>
      </c>
      <c r="N71" s="41">
        <v>79322.817290859981</v>
      </c>
      <c r="O71" s="41">
        <v>236299.74604810926</v>
      </c>
      <c r="P71" s="52"/>
      <c r="Q71" s="41"/>
      <c r="R71" s="41">
        <v>315622.56333896925</v>
      </c>
      <c r="S71" s="41">
        <v>450</v>
      </c>
      <c r="T71" s="41">
        <v>0</v>
      </c>
      <c r="U71" s="41">
        <v>28444.797817499999</v>
      </c>
      <c r="V71" s="41">
        <v>131581.4</v>
      </c>
      <c r="W71" s="53">
        <v>160476.19781749998</v>
      </c>
      <c r="X71" s="41">
        <v>1545.684177081496</v>
      </c>
      <c r="Y71" s="41">
        <v>6118.9</v>
      </c>
      <c r="Z71" s="41">
        <v>1393.8197129499999</v>
      </c>
    </row>
    <row r="72" spans="1:26">
      <c r="A72" s="41" t="s">
        <v>135</v>
      </c>
      <c r="B72" s="54"/>
      <c r="C72" s="55">
        <v>406705.16342197923</v>
      </c>
      <c r="D72" s="55">
        <v>47214.905034482144</v>
      </c>
      <c r="E72" s="41">
        <v>453920.06845646136</v>
      </c>
      <c r="F72" s="41"/>
      <c r="G72" s="41"/>
      <c r="H72" s="41"/>
      <c r="I72" s="41"/>
      <c r="J72" s="41"/>
      <c r="K72" s="41"/>
      <c r="L72" s="41"/>
      <c r="M72" s="51">
        <v>453920.06845646136</v>
      </c>
      <c r="N72" s="41">
        <v>73717.399999999994</v>
      </c>
      <c r="O72" s="41">
        <v>218457.1</v>
      </c>
      <c r="P72" s="52"/>
      <c r="Q72" s="41"/>
      <c r="R72" s="41">
        <v>292174.5</v>
      </c>
      <c r="S72" s="41">
        <v>320</v>
      </c>
      <c r="T72" s="41">
        <v>0</v>
      </c>
      <c r="U72" s="41">
        <v>31466.723628</v>
      </c>
      <c r="V72" s="41">
        <v>125061.67328205695</v>
      </c>
      <c r="W72" s="53">
        <v>156848.39691005694</v>
      </c>
      <c r="X72" s="41">
        <v>1391.7303526143473</v>
      </c>
      <c r="Y72" s="41">
        <v>2196.3819390700683</v>
      </c>
      <c r="Z72" s="41">
        <v>1309.0592547199999</v>
      </c>
    </row>
    <row r="73" spans="1:26">
      <c r="A73" s="41"/>
      <c r="B73" s="54"/>
      <c r="C73" s="55"/>
      <c r="D73" s="55"/>
      <c r="E73" s="41"/>
      <c r="F73" s="41"/>
      <c r="G73" s="41"/>
      <c r="H73" s="41"/>
      <c r="I73" s="41"/>
      <c r="J73" s="41"/>
      <c r="K73" s="41"/>
      <c r="L73" s="41"/>
      <c r="M73" s="51"/>
      <c r="N73" s="41"/>
      <c r="O73" s="41"/>
      <c r="P73" s="52"/>
      <c r="Q73" s="41"/>
      <c r="R73" s="41"/>
      <c r="S73" s="41"/>
      <c r="T73" s="41"/>
      <c r="U73" s="41"/>
      <c r="V73" s="41"/>
      <c r="W73" s="53"/>
      <c r="X73" s="41"/>
      <c r="Y73" s="41"/>
      <c r="Z73" s="41"/>
    </row>
    <row r="74" spans="1:26" s="22" customFormat="1">
      <c r="A74" s="36" t="s">
        <v>136</v>
      </c>
      <c r="B74" s="56"/>
      <c r="C74" s="57">
        <v>461783.2</v>
      </c>
      <c r="D74" s="57">
        <v>50256.6</v>
      </c>
      <c r="E74" s="36">
        <v>512039.8</v>
      </c>
      <c r="F74" s="36"/>
      <c r="G74" s="36"/>
      <c r="H74" s="36"/>
      <c r="I74" s="36"/>
      <c r="J74" s="36"/>
      <c r="K74" s="36"/>
      <c r="L74" s="36"/>
      <c r="M74" s="51">
        <v>512039.8</v>
      </c>
      <c r="N74" s="36">
        <v>81840.3</v>
      </c>
      <c r="O74" s="36">
        <v>246015.4</v>
      </c>
      <c r="P74" s="50"/>
      <c r="Q74" s="36"/>
      <c r="R74" s="36">
        <v>327855.7</v>
      </c>
      <c r="S74" s="36">
        <v>1054.7</v>
      </c>
      <c r="T74" s="36">
        <v>0</v>
      </c>
      <c r="U74" s="36">
        <v>30931.11011003</v>
      </c>
      <c r="V74" s="36">
        <v>145542.1</v>
      </c>
      <c r="W74" s="51">
        <v>177527.91011003</v>
      </c>
      <c r="X74" s="36">
        <v>1552.3</v>
      </c>
      <c r="Y74" s="36">
        <v>3840.8</v>
      </c>
      <c r="Z74" s="36">
        <v>1262.9000000000001</v>
      </c>
    </row>
    <row r="75" spans="1:26">
      <c r="A75" s="41" t="s">
        <v>137</v>
      </c>
      <c r="B75" s="54"/>
      <c r="C75" s="55">
        <v>473334.3</v>
      </c>
      <c r="D75" s="55">
        <v>50364.1</v>
      </c>
      <c r="E75" s="41">
        <v>523698.39999999997</v>
      </c>
      <c r="F75" s="41"/>
      <c r="G75" s="41"/>
      <c r="H75" s="41"/>
      <c r="I75" s="41"/>
      <c r="J75" s="41"/>
      <c r="K75" s="41"/>
      <c r="L75" s="41"/>
      <c r="M75" s="51">
        <v>523698.39999999997</v>
      </c>
      <c r="N75" s="41">
        <v>85052.4</v>
      </c>
      <c r="O75" s="41">
        <v>250108.3</v>
      </c>
      <c r="P75" s="52"/>
      <c r="Q75" s="41"/>
      <c r="R75" s="41">
        <v>335160.69999999995</v>
      </c>
      <c r="S75" s="41">
        <v>0</v>
      </c>
      <c r="T75" s="41">
        <v>0</v>
      </c>
      <c r="U75" s="41">
        <v>32023.5</v>
      </c>
      <c r="V75" s="41">
        <v>145192.20000000001</v>
      </c>
      <c r="W75" s="53">
        <v>177215.7</v>
      </c>
      <c r="X75" s="41">
        <v>1697.9</v>
      </c>
      <c r="Y75" s="41">
        <v>8115</v>
      </c>
      <c r="Z75" s="41">
        <v>1509.1</v>
      </c>
    </row>
    <row r="76" spans="1:26">
      <c r="A76" s="41" t="s">
        <v>142</v>
      </c>
      <c r="B76" s="54"/>
      <c r="C76" s="55">
        <v>488200.1</v>
      </c>
      <c r="D76" s="55">
        <v>49052.4</v>
      </c>
      <c r="E76" s="41">
        <v>537252.5</v>
      </c>
      <c r="F76" s="41"/>
      <c r="G76" s="41"/>
      <c r="H76" s="41"/>
      <c r="I76" s="41"/>
      <c r="J76" s="41"/>
      <c r="K76" s="41"/>
      <c r="L76" s="41"/>
      <c r="M76" s="51">
        <v>537252.5</v>
      </c>
      <c r="N76" s="41">
        <v>89204.7</v>
      </c>
      <c r="O76" s="41">
        <v>253405.9</v>
      </c>
      <c r="P76" s="52"/>
      <c r="Q76" s="41"/>
      <c r="R76" s="41">
        <v>342610.6</v>
      </c>
      <c r="S76" s="41">
        <v>0</v>
      </c>
      <c r="T76" s="41">
        <v>0</v>
      </c>
      <c r="U76" s="41">
        <v>32217.9</v>
      </c>
      <c r="V76" s="41">
        <v>153280</v>
      </c>
      <c r="W76" s="53">
        <v>185497.9</v>
      </c>
      <c r="X76" s="41">
        <v>1718.4</v>
      </c>
      <c r="Y76" s="41">
        <v>5954.1</v>
      </c>
      <c r="Z76" s="41">
        <v>1471.5</v>
      </c>
    </row>
    <row r="77" spans="1:26">
      <c r="A77" s="41" t="s">
        <v>143</v>
      </c>
      <c r="B77" s="54"/>
      <c r="C77" s="55">
        <v>501583.2</v>
      </c>
      <c r="D77" s="55">
        <v>53027.5</v>
      </c>
      <c r="E77" s="41">
        <v>554610.69999999995</v>
      </c>
      <c r="F77" s="41"/>
      <c r="G77" s="41"/>
      <c r="H77" s="41"/>
      <c r="I77" s="41"/>
      <c r="J77" s="41"/>
      <c r="K77" s="41"/>
      <c r="L77" s="41"/>
      <c r="M77" s="51">
        <v>554610.69999999995</v>
      </c>
      <c r="N77" s="41">
        <v>90380.9</v>
      </c>
      <c r="O77" s="41">
        <v>260394.5</v>
      </c>
      <c r="P77" s="52"/>
      <c r="Q77" s="41"/>
      <c r="R77" s="41">
        <v>350775.4</v>
      </c>
      <c r="S77" s="41">
        <v>0</v>
      </c>
      <c r="T77" s="41">
        <v>0</v>
      </c>
      <c r="U77" s="41">
        <v>31703.3</v>
      </c>
      <c r="V77" s="41">
        <v>159545</v>
      </c>
      <c r="W77" s="53">
        <v>191248.3</v>
      </c>
      <c r="X77" s="41">
        <v>1775.9</v>
      </c>
      <c r="Y77" s="41">
        <v>9397.5</v>
      </c>
      <c r="Z77" s="41">
        <v>1413.6</v>
      </c>
    </row>
    <row r="78" spans="1:26">
      <c r="A78" s="41"/>
      <c r="B78" s="54"/>
      <c r="C78" s="55"/>
      <c r="D78" s="55"/>
      <c r="E78" s="41"/>
      <c r="F78" s="41"/>
      <c r="G78" s="41"/>
      <c r="H78" s="41"/>
      <c r="I78" s="41"/>
      <c r="J78" s="41"/>
      <c r="K78" s="41"/>
      <c r="L78" s="41"/>
      <c r="M78" s="51"/>
      <c r="N78" s="41"/>
      <c r="O78" s="41"/>
      <c r="P78" s="52"/>
      <c r="Q78" s="41"/>
      <c r="R78" s="41"/>
      <c r="S78" s="41"/>
      <c r="T78" s="41"/>
      <c r="U78" s="41"/>
      <c r="V78" s="41"/>
      <c r="W78" s="53"/>
      <c r="X78" s="41"/>
      <c r="Y78" s="41"/>
      <c r="Z78" s="41"/>
    </row>
    <row r="79" spans="1:26" s="22" customFormat="1">
      <c r="A79" s="36" t="s">
        <v>144</v>
      </c>
      <c r="B79" s="56"/>
      <c r="C79" s="57">
        <v>518475.3</v>
      </c>
      <c r="D79" s="57">
        <v>52852.2</v>
      </c>
      <c r="E79" s="36">
        <v>571327.5</v>
      </c>
      <c r="F79" s="36"/>
      <c r="G79" s="36"/>
      <c r="H79" s="36"/>
      <c r="I79" s="36"/>
      <c r="J79" s="36"/>
      <c r="K79" s="36"/>
      <c r="L79" s="36"/>
      <c r="M79" s="51">
        <v>571327.40613399073</v>
      </c>
      <c r="N79" s="36">
        <v>90372.533689064905</v>
      </c>
      <c r="O79" s="36">
        <v>262804.7</v>
      </c>
      <c r="P79" s="50"/>
      <c r="Q79" s="36"/>
      <c r="R79" s="36">
        <v>353177.23368906492</v>
      </c>
      <c r="S79" s="36">
        <v>1083.70417819</v>
      </c>
      <c r="T79" s="36">
        <v>0</v>
      </c>
      <c r="U79" s="36">
        <v>30788.400000000001</v>
      </c>
      <c r="V79" s="36">
        <v>167903.164051</v>
      </c>
      <c r="W79" s="51">
        <v>199775.26822919</v>
      </c>
      <c r="X79" s="36">
        <v>1816.9</v>
      </c>
      <c r="Y79" s="36">
        <v>14933.604215735799</v>
      </c>
      <c r="Z79" s="36">
        <v>1624.4</v>
      </c>
    </row>
    <row r="80" spans="1:26">
      <c r="A80" s="209"/>
      <c r="B80" s="54"/>
      <c r="C80" s="169"/>
      <c r="D80" s="169"/>
      <c r="E80" s="209"/>
      <c r="F80" s="209"/>
      <c r="G80" s="209"/>
      <c r="H80" s="209"/>
      <c r="I80" s="209"/>
      <c r="J80" s="209"/>
      <c r="K80" s="209"/>
      <c r="L80" s="209"/>
      <c r="M80" s="168"/>
      <c r="N80" s="209"/>
      <c r="O80" s="209"/>
      <c r="P80" s="210"/>
      <c r="Q80" s="209"/>
      <c r="R80" s="209"/>
      <c r="S80" s="209"/>
      <c r="T80" s="209"/>
      <c r="U80" s="209"/>
      <c r="V80" s="209"/>
      <c r="W80" s="171"/>
      <c r="X80" s="209"/>
      <c r="Y80" s="209"/>
      <c r="Z80" s="209"/>
    </row>
    <row r="81" spans="1:26">
      <c r="A81" s="54"/>
      <c r="B81" s="54"/>
      <c r="C81" s="169"/>
      <c r="D81" s="169"/>
      <c r="E81" s="54"/>
      <c r="F81" s="54"/>
      <c r="G81" s="54"/>
      <c r="H81" s="54"/>
      <c r="I81" s="54"/>
      <c r="J81" s="54"/>
      <c r="K81" s="54"/>
      <c r="L81" s="54"/>
      <c r="M81" s="168"/>
      <c r="N81" s="54"/>
      <c r="O81" s="54"/>
      <c r="P81" s="170"/>
      <c r="Q81" s="54"/>
      <c r="R81" s="54"/>
      <c r="S81" s="54"/>
      <c r="T81" s="54"/>
      <c r="U81" s="54"/>
      <c r="V81" s="54"/>
      <c r="W81" s="171"/>
      <c r="X81" s="54"/>
      <c r="Y81" s="54"/>
      <c r="Z81" s="54"/>
    </row>
    <row r="82" spans="1:26">
      <c r="A82" s="186" t="s">
        <v>83</v>
      </c>
      <c r="B82" s="186"/>
      <c r="C82" s="186"/>
      <c r="D82" s="186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>
      <c r="B83"/>
      <c r="C83"/>
      <c r="D83"/>
    </row>
    <row r="84" spans="1:26">
      <c r="B84"/>
      <c r="C84"/>
      <c r="D84"/>
    </row>
    <row r="85" spans="1:26">
      <c r="B85"/>
      <c r="C85"/>
      <c r="D85"/>
    </row>
    <row r="86" spans="1:26">
      <c r="B86"/>
      <c r="C86"/>
      <c r="D86"/>
    </row>
    <row r="87" spans="1:26">
      <c r="B87"/>
      <c r="C87"/>
      <c r="D87"/>
    </row>
    <row r="88" spans="1:26">
      <c r="B88"/>
      <c r="C88"/>
      <c r="D88"/>
    </row>
    <row r="89" spans="1:26">
      <c r="B89"/>
      <c r="C89"/>
      <c r="D89"/>
    </row>
    <row r="90" spans="1:26">
      <c r="B90"/>
      <c r="C90"/>
      <c r="D90"/>
    </row>
    <row r="91" spans="1:26">
      <c r="B91"/>
      <c r="C91"/>
      <c r="D91"/>
    </row>
    <row r="92" spans="1:26">
      <c r="B92"/>
      <c r="C92"/>
      <c r="D92"/>
    </row>
    <row r="93" spans="1:26">
      <c r="B93"/>
      <c r="C93"/>
      <c r="D93"/>
    </row>
    <row r="94" spans="1:26">
      <c r="B94"/>
      <c r="C94"/>
      <c r="D94"/>
    </row>
    <row r="95" spans="1:26">
      <c r="B95"/>
      <c r="C95"/>
      <c r="D95"/>
    </row>
    <row r="96" spans="1:26">
      <c r="B96"/>
      <c r="C96"/>
      <c r="D96"/>
    </row>
    <row r="97" spans="2:4">
      <c r="B97"/>
      <c r="C97"/>
      <c r="D97"/>
    </row>
    <row r="98" spans="2:4">
      <c r="B98"/>
      <c r="C98"/>
      <c r="D98"/>
    </row>
    <row r="99" spans="2:4">
      <c r="B99"/>
      <c r="C99"/>
      <c r="D99"/>
    </row>
    <row r="100" spans="2:4">
      <c r="B100"/>
      <c r="C100"/>
      <c r="D100"/>
    </row>
    <row r="101" spans="2:4">
      <c r="B101"/>
      <c r="C101"/>
      <c r="D101"/>
    </row>
    <row r="102" spans="2:4">
      <c r="B102"/>
      <c r="C102"/>
      <c r="D102"/>
    </row>
    <row r="103" spans="2:4">
      <c r="B103"/>
      <c r="C103"/>
      <c r="D103"/>
    </row>
    <row r="104" spans="2:4">
      <c r="B104"/>
      <c r="C104"/>
      <c r="D104"/>
    </row>
    <row r="105" spans="2:4">
      <c r="B105"/>
      <c r="C105"/>
      <c r="D105"/>
    </row>
    <row r="106" spans="2:4">
      <c r="B106"/>
      <c r="C106"/>
      <c r="D106"/>
    </row>
    <row r="107" spans="2:4">
      <c r="B107"/>
      <c r="C107"/>
      <c r="D107"/>
    </row>
    <row r="108" spans="2:4">
      <c r="B108"/>
      <c r="C108"/>
      <c r="D108"/>
    </row>
    <row r="109" spans="2:4">
      <c r="B109"/>
      <c r="C109"/>
      <c r="D109"/>
    </row>
    <row r="110" spans="2:4">
      <c r="B110"/>
      <c r="C110"/>
      <c r="D110"/>
    </row>
    <row r="111" spans="2:4">
      <c r="B111"/>
      <c r="C111"/>
      <c r="D111"/>
    </row>
    <row r="112" spans="2:4">
      <c r="B112"/>
      <c r="C112"/>
      <c r="D112"/>
    </row>
    <row r="113" spans="2:4">
      <c r="B113"/>
      <c r="C113"/>
      <c r="D113"/>
    </row>
    <row r="114" spans="2:4">
      <c r="B114"/>
      <c r="C114"/>
      <c r="D114"/>
    </row>
    <row r="115" spans="2:4">
      <c r="B115"/>
      <c r="C115"/>
      <c r="D115"/>
    </row>
    <row r="116" spans="2:4">
      <c r="B116"/>
      <c r="C116"/>
      <c r="D116"/>
    </row>
    <row r="117" spans="2:4">
      <c r="B117"/>
      <c r="C117"/>
      <c r="D117"/>
    </row>
    <row r="118" spans="2:4">
      <c r="B118"/>
      <c r="C118"/>
      <c r="D118"/>
    </row>
    <row r="119" spans="2:4">
      <c r="B119"/>
      <c r="C119"/>
      <c r="D119"/>
    </row>
    <row r="120" spans="2:4">
      <c r="B120"/>
      <c r="C120"/>
      <c r="D120"/>
    </row>
    <row r="121" spans="2:4">
      <c r="B121"/>
      <c r="C121"/>
      <c r="D121"/>
    </row>
    <row r="122" spans="2:4">
      <c r="B122"/>
      <c r="C122"/>
      <c r="D122"/>
    </row>
    <row r="123" spans="2:4">
      <c r="B123"/>
      <c r="C123"/>
      <c r="D123"/>
    </row>
    <row r="124" spans="2:4">
      <c r="B124"/>
      <c r="C124"/>
      <c r="D124"/>
    </row>
    <row r="125" spans="2:4">
      <c r="B125"/>
      <c r="C125"/>
      <c r="D125"/>
    </row>
    <row r="126" spans="2:4">
      <c r="B126"/>
      <c r="C126"/>
      <c r="D126"/>
    </row>
    <row r="127" spans="2:4">
      <c r="B127"/>
      <c r="C127"/>
      <c r="D127"/>
    </row>
    <row r="128" spans="2:4">
      <c r="B128"/>
      <c r="C128"/>
      <c r="D128"/>
    </row>
    <row r="129" spans="2:4">
      <c r="B129"/>
      <c r="C129"/>
      <c r="D129"/>
    </row>
    <row r="130" spans="2:4">
      <c r="B130"/>
      <c r="C130"/>
      <c r="D130"/>
    </row>
    <row r="131" spans="2:4">
      <c r="B131"/>
      <c r="C131"/>
      <c r="D131"/>
    </row>
    <row r="132" spans="2:4">
      <c r="B132"/>
      <c r="C132"/>
      <c r="D132"/>
    </row>
    <row r="133" spans="2:4">
      <c r="B133"/>
      <c r="C133"/>
      <c r="D133"/>
    </row>
    <row r="134" spans="2:4">
      <c r="B134"/>
      <c r="C134"/>
      <c r="D134"/>
    </row>
    <row r="135" spans="2:4">
      <c r="B135"/>
      <c r="C135"/>
      <c r="D135"/>
    </row>
    <row r="136" spans="2:4">
      <c r="B136"/>
      <c r="C136"/>
      <c r="D136"/>
    </row>
    <row r="137" spans="2:4">
      <c r="B137"/>
      <c r="C137"/>
      <c r="D137"/>
    </row>
    <row r="138" spans="2:4">
      <c r="B138"/>
      <c r="C138"/>
      <c r="D138"/>
    </row>
    <row r="139" spans="2:4">
      <c r="B139"/>
      <c r="C139"/>
      <c r="D139"/>
    </row>
    <row r="140" spans="2:4">
      <c r="B140"/>
      <c r="C140"/>
      <c r="D140"/>
    </row>
    <row r="141" spans="2:4">
      <c r="B141"/>
      <c r="C141"/>
      <c r="D141"/>
    </row>
    <row r="142" spans="2:4">
      <c r="B142"/>
      <c r="C142"/>
      <c r="D142"/>
    </row>
    <row r="143" spans="2:4">
      <c r="B143"/>
      <c r="C143"/>
      <c r="D143"/>
    </row>
    <row r="144" spans="2:4">
      <c r="B144"/>
      <c r="C144"/>
      <c r="D144"/>
    </row>
    <row r="145" spans="2:4">
      <c r="B145"/>
      <c r="C145"/>
      <c r="D145"/>
    </row>
    <row r="146" spans="2:4">
      <c r="B146"/>
      <c r="C146"/>
      <c r="D146"/>
    </row>
    <row r="147" spans="2:4">
      <c r="B147"/>
      <c r="C147"/>
      <c r="D147"/>
    </row>
    <row r="148" spans="2:4">
      <c r="B148"/>
      <c r="C148"/>
      <c r="D148"/>
    </row>
    <row r="149" spans="2:4">
      <c r="B149"/>
      <c r="C149"/>
      <c r="D149"/>
    </row>
    <row r="150" spans="2:4">
      <c r="B150"/>
      <c r="C150"/>
      <c r="D150"/>
    </row>
    <row r="151" spans="2:4">
      <c r="B151"/>
      <c r="C151"/>
      <c r="D151"/>
    </row>
    <row r="152" spans="2:4">
      <c r="B152"/>
      <c r="C152"/>
      <c r="D152"/>
    </row>
    <row r="153" spans="2:4">
      <c r="B153"/>
      <c r="C153"/>
      <c r="D153"/>
    </row>
    <row r="154" spans="2:4">
      <c r="B154"/>
      <c r="C154"/>
      <c r="D154"/>
    </row>
    <row r="155" spans="2:4">
      <c r="B155"/>
      <c r="C155"/>
      <c r="D155"/>
    </row>
    <row r="156" spans="2:4">
      <c r="B156"/>
      <c r="C156"/>
      <c r="D156"/>
    </row>
    <row r="157" spans="2:4">
      <c r="B157"/>
      <c r="C157"/>
      <c r="D157"/>
    </row>
    <row r="158" spans="2:4">
      <c r="B158"/>
      <c r="C158"/>
      <c r="D158"/>
    </row>
    <row r="159" spans="2:4">
      <c r="B159"/>
      <c r="C159"/>
      <c r="D159"/>
    </row>
    <row r="160" spans="2:4">
      <c r="B160"/>
      <c r="C160"/>
      <c r="D160"/>
    </row>
    <row r="161" spans="2:4">
      <c r="B161"/>
      <c r="C161"/>
      <c r="D161"/>
    </row>
    <row r="162" spans="2:4">
      <c r="B162"/>
      <c r="C162"/>
      <c r="D162"/>
    </row>
    <row r="163" spans="2:4">
      <c r="B163"/>
      <c r="C163"/>
      <c r="D163"/>
    </row>
    <row r="164" spans="2:4">
      <c r="B164"/>
      <c r="C164"/>
      <c r="D164"/>
    </row>
    <row r="165" spans="2:4">
      <c r="B165"/>
      <c r="C165"/>
      <c r="D165"/>
    </row>
    <row r="166" spans="2:4">
      <c r="B166"/>
      <c r="C166"/>
      <c r="D166"/>
    </row>
    <row r="167" spans="2:4">
      <c r="B167"/>
      <c r="C167"/>
      <c r="D167"/>
    </row>
    <row r="168" spans="2:4">
      <c r="B168"/>
      <c r="C168"/>
      <c r="D168"/>
    </row>
    <row r="169" spans="2:4">
      <c r="B169"/>
      <c r="C169"/>
      <c r="D169"/>
    </row>
    <row r="170" spans="2:4">
      <c r="B170"/>
      <c r="C170"/>
      <c r="D170"/>
    </row>
    <row r="171" spans="2:4">
      <c r="B171"/>
      <c r="C171"/>
      <c r="D171"/>
    </row>
    <row r="172" spans="2:4">
      <c r="B172"/>
      <c r="C172"/>
      <c r="D172"/>
    </row>
    <row r="173" spans="2:4">
      <c r="B173"/>
      <c r="C173"/>
      <c r="D173"/>
    </row>
    <row r="174" spans="2:4">
      <c r="B174"/>
      <c r="C174"/>
      <c r="D174"/>
    </row>
    <row r="175" spans="2:4">
      <c r="B175"/>
      <c r="C175"/>
      <c r="D175"/>
    </row>
    <row r="176" spans="2:4">
      <c r="B176"/>
      <c r="C176"/>
      <c r="D176"/>
    </row>
    <row r="177" spans="2:4">
      <c r="B177"/>
      <c r="C177"/>
      <c r="D177"/>
    </row>
    <row r="178" spans="2:4">
      <c r="B178"/>
      <c r="C178"/>
      <c r="D178"/>
    </row>
    <row r="179" spans="2:4">
      <c r="B179"/>
      <c r="C179"/>
      <c r="D179"/>
    </row>
    <row r="180" spans="2:4">
      <c r="B180"/>
      <c r="C180"/>
      <c r="D180"/>
    </row>
    <row r="181" spans="2:4">
      <c r="B181"/>
      <c r="C181"/>
      <c r="D181"/>
    </row>
    <row r="182" spans="2:4">
      <c r="B182"/>
      <c r="C182"/>
      <c r="D182"/>
    </row>
    <row r="183" spans="2:4">
      <c r="B183"/>
      <c r="C183"/>
      <c r="D183"/>
    </row>
    <row r="184" spans="2:4">
      <c r="B184"/>
      <c r="C184"/>
      <c r="D184"/>
    </row>
    <row r="185" spans="2:4">
      <c r="B185"/>
      <c r="C185"/>
      <c r="D185"/>
    </row>
    <row r="186" spans="2:4">
      <c r="B186"/>
      <c r="C186"/>
      <c r="D186"/>
    </row>
    <row r="187" spans="2:4">
      <c r="B187"/>
      <c r="C187"/>
      <c r="D187"/>
    </row>
    <row r="188" spans="2:4">
      <c r="B188"/>
      <c r="C188"/>
      <c r="D188"/>
    </row>
    <row r="189" spans="2:4">
      <c r="B189"/>
      <c r="C189"/>
      <c r="D189"/>
    </row>
    <row r="190" spans="2:4">
      <c r="B190"/>
      <c r="C190"/>
      <c r="D190"/>
    </row>
    <row r="191" spans="2:4">
      <c r="B191"/>
      <c r="C191"/>
      <c r="D191"/>
    </row>
    <row r="192" spans="2:4">
      <c r="B192"/>
      <c r="C192"/>
      <c r="D192"/>
    </row>
    <row r="193" spans="2:4">
      <c r="B193"/>
      <c r="C193"/>
      <c r="D193"/>
    </row>
    <row r="194" spans="2:4">
      <c r="B194"/>
      <c r="C194"/>
      <c r="D194"/>
    </row>
    <row r="195" spans="2:4">
      <c r="B195"/>
      <c r="C195"/>
      <c r="D195"/>
    </row>
    <row r="196" spans="2:4">
      <c r="B196"/>
      <c r="C196"/>
      <c r="D196"/>
    </row>
    <row r="197" spans="2:4">
      <c r="B197"/>
      <c r="C197"/>
      <c r="D197"/>
    </row>
    <row r="198" spans="2:4">
      <c r="B198"/>
      <c r="C198"/>
      <c r="D198"/>
    </row>
    <row r="199" spans="2:4">
      <c r="B199"/>
      <c r="C199"/>
      <c r="D199"/>
    </row>
    <row r="200" spans="2:4">
      <c r="B200"/>
      <c r="C200"/>
      <c r="D200"/>
    </row>
    <row r="201" spans="2:4">
      <c r="B201"/>
      <c r="C201"/>
      <c r="D201"/>
    </row>
    <row r="202" spans="2:4">
      <c r="B202"/>
      <c r="C202"/>
      <c r="D202"/>
    </row>
    <row r="203" spans="2:4">
      <c r="B203"/>
      <c r="C203"/>
      <c r="D203"/>
    </row>
    <row r="204" spans="2:4">
      <c r="B204"/>
      <c r="C204"/>
      <c r="D204"/>
    </row>
    <row r="205" spans="2:4">
      <c r="B205"/>
      <c r="C205"/>
      <c r="D205"/>
    </row>
    <row r="206" spans="2:4">
      <c r="B206"/>
      <c r="C206"/>
      <c r="D206"/>
    </row>
    <row r="207" spans="2:4">
      <c r="B207"/>
      <c r="C207"/>
      <c r="D207"/>
    </row>
    <row r="208" spans="2:4">
      <c r="B208"/>
      <c r="C208"/>
      <c r="D208"/>
    </row>
    <row r="209" spans="2:4">
      <c r="B209"/>
      <c r="C209"/>
      <c r="D209"/>
    </row>
    <row r="210" spans="2:4">
      <c r="B210"/>
      <c r="C210"/>
      <c r="D210"/>
    </row>
    <row r="211" spans="2:4">
      <c r="B211"/>
      <c r="C211"/>
      <c r="D211"/>
    </row>
    <row r="212" spans="2:4">
      <c r="B212"/>
      <c r="C212"/>
      <c r="D212"/>
    </row>
    <row r="213" spans="2:4">
      <c r="B213"/>
      <c r="C213"/>
      <c r="D213"/>
    </row>
    <row r="214" spans="2:4">
      <c r="B214"/>
      <c r="C214"/>
      <c r="D214"/>
    </row>
    <row r="215" spans="2:4">
      <c r="B215"/>
      <c r="C215"/>
      <c r="D215"/>
    </row>
    <row r="216" spans="2:4">
      <c r="B216"/>
      <c r="C216"/>
      <c r="D216"/>
    </row>
    <row r="217" spans="2:4">
      <c r="B217"/>
      <c r="C217"/>
      <c r="D217"/>
    </row>
    <row r="218" spans="2:4">
      <c r="B218"/>
      <c r="C218"/>
      <c r="D218"/>
    </row>
    <row r="219" spans="2:4">
      <c r="B219"/>
      <c r="C219"/>
      <c r="D219"/>
    </row>
    <row r="220" spans="2:4">
      <c r="B220"/>
      <c r="C220"/>
      <c r="D220"/>
    </row>
    <row r="221" spans="2:4">
      <c r="B221"/>
      <c r="C221"/>
      <c r="D221"/>
    </row>
    <row r="222" spans="2:4">
      <c r="B222"/>
      <c r="C222"/>
      <c r="D222"/>
    </row>
    <row r="223" spans="2:4">
      <c r="B223"/>
      <c r="C223"/>
      <c r="D223"/>
    </row>
    <row r="224" spans="2:4">
      <c r="B224"/>
      <c r="C224"/>
      <c r="D224"/>
    </row>
    <row r="225" spans="2:4">
      <c r="B225"/>
      <c r="C225"/>
      <c r="D225"/>
    </row>
    <row r="226" spans="2:4">
      <c r="B226"/>
      <c r="C226"/>
      <c r="D226"/>
    </row>
    <row r="227" spans="2:4">
      <c r="B227"/>
      <c r="C227"/>
      <c r="D227"/>
    </row>
    <row r="228" spans="2:4">
      <c r="B228"/>
      <c r="C228"/>
      <c r="D228"/>
    </row>
    <row r="229" spans="2:4">
      <c r="B229"/>
      <c r="C229"/>
      <c r="D229"/>
    </row>
    <row r="230" spans="2:4">
      <c r="B230"/>
      <c r="C230"/>
      <c r="D230"/>
    </row>
    <row r="231" spans="2:4">
      <c r="B231"/>
      <c r="C231"/>
      <c r="D231"/>
    </row>
    <row r="232" spans="2:4">
      <c r="B232"/>
      <c r="C232"/>
      <c r="D232"/>
    </row>
    <row r="233" spans="2:4">
      <c r="B233"/>
      <c r="C233"/>
      <c r="D233"/>
    </row>
    <row r="234" spans="2:4">
      <c r="B234"/>
      <c r="C234"/>
      <c r="D234"/>
    </row>
    <row r="235" spans="2:4">
      <c r="B235"/>
      <c r="C235"/>
      <c r="D235"/>
    </row>
    <row r="236" spans="2:4">
      <c r="B236"/>
      <c r="C236"/>
      <c r="D236"/>
    </row>
    <row r="237" spans="2:4">
      <c r="B237"/>
      <c r="C237"/>
      <c r="D237"/>
    </row>
    <row r="238" spans="2:4">
      <c r="B238"/>
      <c r="C238"/>
      <c r="D238"/>
    </row>
    <row r="239" spans="2:4">
      <c r="B239"/>
      <c r="C239"/>
      <c r="D239"/>
    </row>
    <row r="240" spans="2:4">
      <c r="B240"/>
      <c r="C240"/>
      <c r="D240"/>
    </row>
    <row r="241" spans="2:4">
      <c r="B241"/>
      <c r="C241"/>
      <c r="D241"/>
    </row>
    <row r="242" spans="2:4">
      <c r="B242"/>
      <c r="C242"/>
      <c r="D242"/>
    </row>
    <row r="243" spans="2:4">
      <c r="B243"/>
      <c r="C243"/>
      <c r="D243"/>
    </row>
    <row r="244" spans="2:4">
      <c r="B244"/>
      <c r="C244"/>
      <c r="D244"/>
    </row>
    <row r="245" spans="2:4">
      <c r="B245"/>
      <c r="C245"/>
      <c r="D245"/>
    </row>
    <row r="246" spans="2:4">
      <c r="B246"/>
      <c r="C246"/>
      <c r="D246"/>
    </row>
    <row r="247" spans="2:4">
      <c r="B247"/>
      <c r="C247"/>
      <c r="D247"/>
    </row>
    <row r="248" spans="2:4">
      <c r="B248"/>
      <c r="C248"/>
      <c r="D248"/>
    </row>
    <row r="249" spans="2:4">
      <c r="B249"/>
      <c r="C249"/>
      <c r="D249"/>
    </row>
    <row r="250" spans="2:4">
      <c r="B250"/>
      <c r="C250"/>
      <c r="D250"/>
    </row>
    <row r="251" spans="2:4">
      <c r="B251"/>
      <c r="C251"/>
      <c r="D251"/>
    </row>
    <row r="252" spans="2:4">
      <c r="B252"/>
      <c r="C252"/>
      <c r="D252"/>
    </row>
    <row r="253" spans="2:4">
      <c r="B253"/>
      <c r="C253"/>
      <c r="D253"/>
    </row>
    <row r="254" spans="2:4">
      <c r="B254"/>
      <c r="C254"/>
      <c r="D254"/>
    </row>
    <row r="255" spans="2:4">
      <c r="B255"/>
      <c r="C255"/>
      <c r="D255"/>
    </row>
    <row r="256" spans="2:4">
      <c r="B256"/>
      <c r="C256"/>
      <c r="D256"/>
    </row>
    <row r="257" spans="2:4">
      <c r="B257"/>
      <c r="C257"/>
      <c r="D257"/>
    </row>
    <row r="258" spans="2:4">
      <c r="B258"/>
      <c r="C258"/>
      <c r="D258"/>
    </row>
    <row r="259" spans="2:4">
      <c r="B259"/>
      <c r="C259"/>
      <c r="D259"/>
    </row>
    <row r="260" spans="2:4">
      <c r="B260"/>
      <c r="C260"/>
      <c r="D260"/>
    </row>
    <row r="261" spans="2:4">
      <c r="B261"/>
      <c r="C261"/>
      <c r="D261"/>
    </row>
    <row r="262" spans="2:4">
      <c r="B262"/>
      <c r="C262"/>
      <c r="D262"/>
    </row>
    <row r="263" spans="2:4">
      <c r="B263"/>
      <c r="C263"/>
      <c r="D263"/>
    </row>
    <row r="264" spans="2:4">
      <c r="B264"/>
      <c r="C264"/>
      <c r="D264"/>
    </row>
    <row r="265" spans="2:4">
      <c r="B265"/>
      <c r="C265"/>
      <c r="D265"/>
    </row>
    <row r="266" spans="2:4">
      <c r="B266"/>
      <c r="C266"/>
      <c r="D266"/>
    </row>
    <row r="267" spans="2:4">
      <c r="B267"/>
      <c r="C267"/>
      <c r="D267"/>
    </row>
    <row r="268" spans="2:4">
      <c r="B268"/>
      <c r="C268"/>
      <c r="D268"/>
    </row>
    <row r="269" spans="2:4">
      <c r="B269"/>
      <c r="C269"/>
      <c r="D269"/>
    </row>
    <row r="270" spans="2:4">
      <c r="B270"/>
      <c r="C270"/>
      <c r="D270"/>
    </row>
    <row r="271" spans="2:4">
      <c r="B271"/>
      <c r="C271"/>
      <c r="D271"/>
    </row>
    <row r="272" spans="2:4">
      <c r="B272"/>
      <c r="C272"/>
      <c r="D272"/>
    </row>
    <row r="273" spans="2:4">
      <c r="B273"/>
      <c r="C273"/>
      <c r="D273"/>
    </row>
    <row r="274" spans="2:4">
      <c r="B274"/>
      <c r="C274"/>
      <c r="D274"/>
    </row>
    <row r="275" spans="2:4">
      <c r="B275"/>
      <c r="C275"/>
      <c r="D275"/>
    </row>
    <row r="276" spans="2:4">
      <c r="B276"/>
      <c r="C276"/>
      <c r="D276"/>
    </row>
    <row r="277" spans="2:4">
      <c r="B277"/>
      <c r="C277"/>
      <c r="D277"/>
    </row>
    <row r="278" spans="2:4">
      <c r="B278"/>
      <c r="C278"/>
      <c r="D278"/>
    </row>
    <row r="279" spans="2:4">
      <c r="B279"/>
      <c r="C279"/>
      <c r="D279"/>
    </row>
    <row r="280" spans="2:4">
      <c r="B280"/>
      <c r="C280"/>
      <c r="D280"/>
    </row>
    <row r="281" spans="2:4">
      <c r="B281"/>
      <c r="C281"/>
      <c r="D281"/>
    </row>
    <row r="282" spans="2:4">
      <c r="B282"/>
      <c r="C282"/>
      <c r="D282"/>
    </row>
    <row r="283" spans="2:4">
      <c r="B283"/>
      <c r="C283"/>
      <c r="D283"/>
    </row>
    <row r="284" spans="2:4">
      <c r="B284"/>
      <c r="C284"/>
      <c r="D284"/>
    </row>
    <row r="285" spans="2:4">
      <c r="B285"/>
      <c r="C285"/>
      <c r="D285"/>
    </row>
    <row r="286" spans="2:4">
      <c r="B286"/>
      <c r="C286"/>
      <c r="D286"/>
    </row>
    <row r="287" spans="2:4">
      <c r="B287"/>
      <c r="C287"/>
      <c r="D287"/>
    </row>
    <row r="288" spans="2:4">
      <c r="B288"/>
      <c r="C288"/>
      <c r="D288"/>
    </row>
    <row r="289" spans="2:4">
      <c r="B289"/>
      <c r="C289"/>
      <c r="D289"/>
    </row>
    <row r="290" spans="2:4">
      <c r="B290"/>
      <c r="C290"/>
      <c r="D290"/>
    </row>
    <row r="291" spans="2:4">
      <c r="B291"/>
      <c r="C291"/>
      <c r="D291"/>
    </row>
    <row r="292" spans="2:4">
      <c r="B292"/>
      <c r="C292"/>
      <c r="D292"/>
    </row>
    <row r="293" spans="2:4">
      <c r="B293"/>
      <c r="C293"/>
      <c r="D293"/>
    </row>
    <row r="294" spans="2:4">
      <c r="B294"/>
      <c r="C294"/>
      <c r="D294"/>
    </row>
    <row r="295" spans="2:4">
      <c r="B295"/>
      <c r="C295"/>
      <c r="D295"/>
    </row>
    <row r="296" spans="2:4">
      <c r="B296"/>
      <c r="C296"/>
      <c r="D296"/>
    </row>
    <row r="297" spans="2:4">
      <c r="B297"/>
      <c r="C297"/>
      <c r="D297"/>
    </row>
    <row r="298" spans="2:4">
      <c r="B298"/>
      <c r="C298"/>
      <c r="D298"/>
    </row>
    <row r="299" spans="2:4">
      <c r="B299"/>
      <c r="C299"/>
      <c r="D299"/>
    </row>
    <row r="300" spans="2:4">
      <c r="B300"/>
      <c r="C300"/>
      <c r="D300"/>
    </row>
    <row r="301" spans="2:4">
      <c r="B301"/>
      <c r="C301"/>
      <c r="D301"/>
    </row>
    <row r="302" spans="2:4">
      <c r="B302"/>
      <c r="C302"/>
      <c r="D302"/>
    </row>
    <row r="303" spans="2:4">
      <c r="B303"/>
      <c r="C303"/>
      <c r="D303"/>
    </row>
    <row r="304" spans="2:4">
      <c r="B304"/>
      <c r="C304"/>
      <c r="D304"/>
    </row>
    <row r="305" spans="2:4">
      <c r="B305"/>
      <c r="C305"/>
      <c r="D305"/>
    </row>
    <row r="306" spans="2:4">
      <c r="B306"/>
      <c r="C306"/>
      <c r="D306"/>
    </row>
    <row r="307" spans="2:4">
      <c r="B307"/>
      <c r="C307"/>
      <c r="D307"/>
    </row>
    <row r="308" spans="2:4">
      <c r="B308"/>
      <c r="C308"/>
      <c r="D308"/>
    </row>
    <row r="309" spans="2:4">
      <c r="B309"/>
      <c r="C309"/>
      <c r="D309"/>
    </row>
    <row r="310" spans="2:4">
      <c r="B310"/>
      <c r="C310"/>
      <c r="D310"/>
    </row>
    <row r="311" spans="2:4">
      <c r="B311"/>
      <c r="C311"/>
      <c r="D311"/>
    </row>
    <row r="312" spans="2:4">
      <c r="B312"/>
      <c r="C312"/>
      <c r="D312"/>
    </row>
    <row r="313" spans="2:4">
      <c r="B313"/>
      <c r="C313"/>
      <c r="D313"/>
    </row>
    <row r="314" spans="2:4">
      <c r="B314"/>
      <c r="C314"/>
      <c r="D314"/>
    </row>
    <row r="315" spans="2:4">
      <c r="B315"/>
      <c r="C315"/>
      <c r="D315"/>
    </row>
    <row r="316" spans="2:4">
      <c r="B316"/>
      <c r="C316"/>
      <c r="D316"/>
    </row>
    <row r="317" spans="2:4">
      <c r="B317"/>
      <c r="C317"/>
      <c r="D317"/>
    </row>
    <row r="318" spans="2:4">
      <c r="B318"/>
      <c r="C318"/>
      <c r="D318"/>
    </row>
    <row r="319" spans="2:4">
      <c r="B319"/>
      <c r="C319"/>
      <c r="D319"/>
    </row>
    <row r="320" spans="2:4">
      <c r="B320"/>
      <c r="C320"/>
      <c r="D320"/>
    </row>
    <row r="321" spans="2:4">
      <c r="B321"/>
      <c r="C321"/>
      <c r="D321"/>
    </row>
    <row r="322" spans="2:4">
      <c r="B322"/>
      <c r="C322"/>
      <c r="D322"/>
    </row>
    <row r="323" spans="2:4">
      <c r="B323"/>
      <c r="C323"/>
      <c r="D323"/>
    </row>
    <row r="324" spans="2:4">
      <c r="B324"/>
      <c r="C324"/>
      <c r="D324"/>
    </row>
    <row r="325" spans="2:4">
      <c r="B325"/>
      <c r="C325"/>
      <c r="D325"/>
    </row>
    <row r="326" spans="2:4">
      <c r="B326"/>
      <c r="C326"/>
      <c r="D326"/>
    </row>
    <row r="327" spans="2:4">
      <c r="B327"/>
      <c r="C327"/>
      <c r="D327"/>
    </row>
    <row r="328" spans="2:4">
      <c r="B328"/>
      <c r="C328"/>
      <c r="D328"/>
    </row>
    <row r="329" spans="2:4">
      <c r="B329"/>
      <c r="C329"/>
      <c r="D329"/>
    </row>
    <row r="330" spans="2:4">
      <c r="B330"/>
      <c r="C330"/>
      <c r="D330"/>
    </row>
    <row r="331" spans="2:4">
      <c r="B331"/>
      <c r="C331"/>
      <c r="D331"/>
    </row>
    <row r="332" spans="2:4">
      <c r="B332"/>
      <c r="C332"/>
      <c r="D332"/>
    </row>
    <row r="333" spans="2:4">
      <c r="B333"/>
      <c r="C333"/>
      <c r="D333"/>
    </row>
    <row r="334" spans="2:4">
      <c r="B334"/>
      <c r="C334"/>
      <c r="D334"/>
    </row>
    <row r="335" spans="2:4">
      <c r="B335"/>
      <c r="C335"/>
      <c r="D335"/>
    </row>
    <row r="336" spans="2:4">
      <c r="B336"/>
      <c r="C336"/>
      <c r="D336"/>
    </row>
    <row r="337" spans="2:4">
      <c r="B337"/>
      <c r="C337"/>
      <c r="D337"/>
    </row>
    <row r="338" spans="2:4">
      <c r="B338"/>
      <c r="C338"/>
      <c r="D338"/>
    </row>
    <row r="339" spans="2:4">
      <c r="B339"/>
      <c r="C339"/>
      <c r="D339"/>
    </row>
    <row r="340" spans="2:4">
      <c r="B340"/>
      <c r="C340"/>
      <c r="D340"/>
    </row>
    <row r="341" spans="2:4">
      <c r="B341"/>
      <c r="C341"/>
      <c r="D341"/>
    </row>
    <row r="342" spans="2:4">
      <c r="B342"/>
      <c r="C342"/>
      <c r="D342"/>
    </row>
    <row r="343" spans="2:4">
      <c r="B343"/>
      <c r="C343"/>
      <c r="D343"/>
    </row>
    <row r="344" spans="2:4">
      <c r="B344"/>
      <c r="C344"/>
      <c r="D344"/>
    </row>
    <row r="345" spans="2:4">
      <c r="B345"/>
      <c r="C345"/>
      <c r="D345"/>
    </row>
    <row r="346" spans="2:4">
      <c r="B346"/>
      <c r="C346"/>
      <c r="D346"/>
    </row>
    <row r="347" spans="2:4">
      <c r="B347"/>
      <c r="C347"/>
      <c r="D347"/>
    </row>
    <row r="348" spans="2:4">
      <c r="B348"/>
      <c r="C348"/>
      <c r="D348"/>
    </row>
    <row r="349" spans="2:4">
      <c r="B349"/>
      <c r="C349"/>
      <c r="D349"/>
    </row>
    <row r="350" spans="2:4">
      <c r="B350"/>
      <c r="C350"/>
      <c r="D350"/>
    </row>
    <row r="351" spans="2:4">
      <c r="B351"/>
      <c r="C351"/>
      <c r="D351"/>
    </row>
    <row r="352" spans="2:4">
      <c r="B352"/>
      <c r="C352"/>
      <c r="D352"/>
    </row>
    <row r="353" spans="2:4">
      <c r="B353"/>
      <c r="C353"/>
      <c r="D353"/>
    </row>
    <row r="354" spans="2:4">
      <c r="B354"/>
      <c r="C354"/>
      <c r="D354"/>
    </row>
    <row r="355" spans="2:4">
      <c r="B355"/>
      <c r="C355"/>
      <c r="D355"/>
    </row>
    <row r="356" spans="2:4">
      <c r="B356"/>
      <c r="C356"/>
      <c r="D356"/>
    </row>
    <row r="357" spans="2:4">
      <c r="B357"/>
      <c r="C357"/>
      <c r="D357"/>
    </row>
    <row r="358" spans="2:4">
      <c r="B358"/>
      <c r="C358"/>
      <c r="D358"/>
    </row>
    <row r="359" spans="2:4">
      <c r="B359"/>
      <c r="C359"/>
      <c r="D359"/>
    </row>
    <row r="360" spans="2:4">
      <c r="B360"/>
      <c r="C360"/>
      <c r="D360"/>
    </row>
    <row r="361" spans="2:4">
      <c r="B361"/>
      <c r="C361"/>
      <c r="D361"/>
    </row>
    <row r="362" spans="2:4">
      <c r="B362"/>
      <c r="C362"/>
      <c r="D362"/>
    </row>
    <row r="363" spans="2:4">
      <c r="B363"/>
      <c r="C363"/>
      <c r="D363"/>
    </row>
    <row r="364" spans="2:4">
      <c r="B364"/>
      <c r="C364"/>
      <c r="D364"/>
    </row>
    <row r="365" spans="2:4">
      <c r="B365"/>
      <c r="C365"/>
      <c r="D365"/>
    </row>
    <row r="366" spans="2:4">
      <c r="B366"/>
      <c r="C366"/>
      <c r="D366"/>
    </row>
    <row r="367" spans="2:4">
      <c r="B367"/>
      <c r="C367"/>
      <c r="D367"/>
    </row>
    <row r="368" spans="2:4">
      <c r="B368"/>
      <c r="C368"/>
      <c r="D368"/>
    </row>
    <row r="369" spans="2:4">
      <c r="B369"/>
      <c r="C369"/>
      <c r="D369"/>
    </row>
    <row r="370" spans="2:4">
      <c r="B370"/>
      <c r="C370"/>
      <c r="D370"/>
    </row>
    <row r="371" spans="2:4">
      <c r="B371"/>
      <c r="C371"/>
      <c r="D371"/>
    </row>
    <row r="372" spans="2:4">
      <c r="B372"/>
      <c r="C372"/>
      <c r="D372"/>
    </row>
    <row r="373" spans="2:4">
      <c r="B373"/>
      <c r="C373"/>
      <c r="D373"/>
    </row>
    <row r="374" spans="2:4">
      <c r="B374"/>
      <c r="C374"/>
      <c r="D374"/>
    </row>
    <row r="375" spans="2:4">
      <c r="B375"/>
      <c r="C375"/>
      <c r="D375"/>
    </row>
    <row r="376" spans="2:4">
      <c r="B376"/>
      <c r="C376"/>
      <c r="D376"/>
    </row>
    <row r="377" spans="2:4">
      <c r="B377"/>
      <c r="C377"/>
      <c r="D377"/>
    </row>
    <row r="378" spans="2:4">
      <c r="B378"/>
      <c r="C378"/>
      <c r="D378"/>
    </row>
    <row r="379" spans="2:4">
      <c r="B379"/>
      <c r="C379"/>
      <c r="D379"/>
    </row>
    <row r="380" spans="2:4">
      <c r="B380"/>
      <c r="C380"/>
      <c r="D380"/>
    </row>
    <row r="381" spans="2:4">
      <c r="B381"/>
      <c r="C381"/>
      <c r="D381"/>
    </row>
    <row r="382" spans="2:4">
      <c r="B382"/>
      <c r="C382"/>
      <c r="D382"/>
    </row>
    <row r="383" spans="2:4">
      <c r="B383"/>
      <c r="C383"/>
      <c r="D383"/>
    </row>
    <row r="384" spans="2:4">
      <c r="B384"/>
      <c r="C384"/>
      <c r="D384"/>
    </row>
    <row r="385" spans="2:4">
      <c r="B385"/>
      <c r="C385"/>
      <c r="D385"/>
    </row>
    <row r="386" spans="2:4">
      <c r="B386"/>
      <c r="C386"/>
      <c r="D386"/>
    </row>
    <row r="387" spans="2:4">
      <c r="B387"/>
      <c r="C387"/>
      <c r="D387"/>
    </row>
    <row r="388" spans="2:4">
      <c r="B388"/>
      <c r="C388"/>
      <c r="D388"/>
    </row>
    <row r="389" spans="2:4">
      <c r="B389"/>
      <c r="C389"/>
      <c r="D389"/>
    </row>
    <row r="390" spans="2:4">
      <c r="B390"/>
      <c r="C390"/>
      <c r="D390"/>
    </row>
    <row r="391" spans="2:4">
      <c r="B391"/>
      <c r="C391"/>
      <c r="D391"/>
    </row>
    <row r="392" spans="2:4">
      <c r="B392"/>
      <c r="C392"/>
      <c r="D392"/>
    </row>
    <row r="393" spans="2:4">
      <c r="B393"/>
      <c r="C393"/>
      <c r="D393"/>
    </row>
    <row r="394" spans="2:4">
      <c r="B394"/>
      <c r="C394"/>
      <c r="D394"/>
    </row>
    <row r="395" spans="2:4">
      <c r="B395"/>
      <c r="C395"/>
      <c r="D395"/>
    </row>
    <row r="396" spans="2:4">
      <c r="B396"/>
      <c r="C396"/>
      <c r="D396"/>
    </row>
    <row r="397" spans="2:4">
      <c r="B397"/>
      <c r="C397"/>
      <c r="D397"/>
    </row>
    <row r="398" spans="2:4">
      <c r="B398"/>
      <c r="C398"/>
      <c r="D398"/>
    </row>
    <row r="399" spans="2:4">
      <c r="B399"/>
      <c r="C399"/>
      <c r="D399"/>
    </row>
    <row r="400" spans="2:4">
      <c r="B400"/>
      <c r="C400"/>
      <c r="D400"/>
    </row>
    <row r="401" spans="2:4">
      <c r="B401"/>
      <c r="C401"/>
      <c r="D401"/>
    </row>
    <row r="402" spans="2:4">
      <c r="B402"/>
      <c r="C402"/>
      <c r="D402"/>
    </row>
    <row r="403" spans="2:4">
      <c r="B403"/>
      <c r="C403"/>
      <c r="D403"/>
    </row>
    <row r="404" spans="2:4">
      <c r="B404"/>
      <c r="C404"/>
      <c r="D404"/>
    </row>
    <row r="405" spans="2:4">
      <c r="B405"/>
      <c r="C405"/>
      <c r="D405"/>
    </row>
    <row r="406" spans="2:4">
      <c r="B406"/>
      <c r="C406"/>
      <c r="D406"/>
    </row>
    <row r="407" spans="2:4">
      <c r="B407"/>
      <c r="C407"/>
      <c r="D407"/>
    </row>
    <row r="408" spans="2:4">
      <c r="B408"/>
      <c r="C408"/>
      <c r="D408"/>
    </row>
    <row r="409" spans="2:4">
      <c r="B409"/>
      <c r="C409"/>
      <c r="D409"/>
    </row>
    <row r="410" spans="2:4">
      <c r="B410"/>
      <c r="C410"/>
      <c r="D410"/>
    </row>
    <row r="411" spans="2:4">
      <c r="B411"/>
      <c r="C411"/>
      <c r="D411"/>
    </row>
    <row r="412" spans="2:4">
      <c r="B412"/>
      <c r="C412"/>
      <c r="D412"/>
    </row>
    <row r="413" spans="2:4">
      <c r="B413"/>
      <c r="C413"/>
      <c r="D413"/>
    </row>
    <row r="414" spans="2:4">
      <c r="B414"/>
      <c r="C414"/>
      <c r="D414"/>
    </row>
    <row r="415" spans="2:4">
      <c r="B415"/>
      <c r="C415"/>
      <c r="D415"/>
    </row>
    <row r="416" spans="2:4">
      <c r="B416"/>
      <c r="C416"/>
      <c r="D416"/>
    </row>
    <row r="417" spans="2:4">
      <c r="B417"/>
      <c r="C417"/>
      <c r="D417"/>
    </row>
    <row r="418" spans="2:4">
      <c r="B418"/>
      <c r="C418"/>
      <c r="D418"/>
    </row>
    <row r="419" spans="2:4">
      <c r="B419"/>
      <c r="C419"/>
      <c r="D419"/>
    </row>
    <row r="420" spans="2:4">
      <c r="B420"/>
      <c r="C420"/>
      <c r="D420"/>
    </row>
    <row r="421" spans="2:4">
      <c r="B421"/>
      <c r="C421"/>
      <c r="D421"/>
    </row>
    <row r="422" spans="2:4">
      <c r="B422"/>
      <c r="C422"/>
      <c r="D422"/>
    </row>
    <row r="423" spans="2:4">
      <c r="B423"/>
      <c r="C423"/>
      <c r="D423"/>
    </row>
    <row r="424" spans="2:4">
      <c r="B424"/>
      <c r="C424"/>
      <c r="D424"/>
    </row>
    <row r="425" spans="2:4">
      <c r="B425"/>
      <c r="C425"/>
      <c r="D425"/>
    </row>
    <row r="426" spans="2:4">
      <c r="B426"/>
      <c r="C426"/>
      <c r="D426"/>
    </row>
    <row r="427" spans="2:4">
      <c r="B427"/>
      <c r="C427"/>
      <c r="D427"/>
    </row>
    <row r="428" spans="2:4">
      <c r="B428"/>
      <c r="C428"/>
      <c r="D428"/>
    </row>
    <row r="429" spans="2:4">
      <c r="B429"/>
      <c r="C429"/>
      <c r="D429"/>
    </row>
    <row r="430" spans="2:4">
      <c r="B430"/>
      <c r="C430"/>
      <c r="D430"/>
    </row>
    <row r="431" spans="2:4">
      <c r="B431"/>
      <c r="C431"/>
      <c r="D431"/>
    </row>
    <row r="432" spans="2:4">
      <c r="B432"/>
      <c r="C432"/>
      <c r="D432"/>
    </row>
    <row r="433" spans="2:4">
      <c r="B433"/>
      <c r="C433"/>
      <c r="D433"/>
    </row>
    <row r="434" spans="2:4">
      <c r="B434"/>
      <c r="C434"/>
      <c r="D434"/>
    </row>
    <row r="435" spans="2:4">
      <c r="B435"/>
      <c r="C435"/>
      <c r="D435"/>
    </row>
    <row r="436" spans="2:4">
      <c r="B436"/>
      <c r="C436"/>
      <c r="D436"/>
    </row>
    <row r="437" spans="2:4">
      <c r="B437"/>
      <c r="C437"/>
      <c r="D437"/>
    </row>
    <row r="438" spans="2:4">
      <c r="B438"/>
      <c r="C438"/>
      <c r="D438"/>
    </row>
    <row r="439" spans="2:4">
      <c r="B439"/>
      <c r="C439"/>
      <c r="D439"/>
    </row>
    <row r="440" spans="2:4">
      <c r="B440"/>
      <c r="C440"/>
      <c r="D440"/>
    </row>
    <row r="441" spans="2:4">
      <c r="B441"/>
      <c r="C441"/>
      <c r="D441"/>
    </row>
    <row r="442" spans="2:4">
      <c r="B442"/>
      <c r="C442"/>
      <c r="D442"/>
    </row>
    <row r="443" spans="2:4">
      <c r="B443"/>
      <c r="C443"/>
      <c r="D443"/>
    </row>
    <row r="444" spans="2:4">
      <c r="B444"/>
      <c r="C444"/>
      <c r="D444"/>
    </row>
    <row r="445" spans="2:4">
      <c r="B445"/>
      <c r="C445"/>
      <c r="D445"/>
    </row>
    <row r="446" spans="2:4">
      <c r="B446"/>
      <c r="C446"/>
      <c r="D446"/>
    </row>
    <row r="447" spans="2:4">
      <c r="B447"/>
      <c r="C447"/>
      <c r="D447"/>
    </row>
    <row r="448" spans="2:4">
      <c r="B448"/>
      <c r="C448"/>
      <c r="D448"/>
    </row>
    <row r="449" spans="2:4">
      <c r="B449"/>
      <c r="C449"/>
      <c r="D449"/>
    </row>
    <row r="450" spans="2:4">
      <c r="B450"/>
      <c r="C450"/>
      <c r="D450"/>
    </row>
    <row r="451" spans="2:4">
      <c r="B451"/>
      <c r="C451"/>
      <c r="D451"/>
    </row>
    <row r="452" spans="2:4">
      <c r="B452"/>
      <c r="C452"/>
      <c r="D452"/>
    </row>
    <row r="453" spans="2:4">
      <c r="B453"/>
      <c r="C453"/>
      <c r="D453"/>
    </row>
    <row r="454" spans="2:4">
      <c r="B454"/>
      <c r="C454"/>
      <c r="D454"/>
    </row>
    <row r="455" spans="2:4">
      <c r="B455"/>
      <c r="C455"/>
      <c r="D455"/>
    </row>
    <row r="456" spans="2:4">
      <c r="B456"/>
      <c r="C456"/>
      <c r="D456"/>
    </row>
    <row r="457" spans="2:4">
      <c r="B457"/>
      <c r="C457"/>
      <c r="D457"/>
    </row>
    <row r="458" spans="2:4">
      <c r="B458"/>
      <c r="C458"/>
      <c r="D458"/>
    </row>
    <row r="459" spans="2:4">
      <c r="B459"/>
      <c r="C459"/>
      <c r="D459"/>
    </row>
    <row r="460" spans="2:4">
      <c r="B460"/>
      <c r="C460"/>
      <c r="D460"/>
    </row>
    <row r="461" spans="2:4">
      <c r="B461"/>
      <c r="C461"/>
      <c r="D461"/>
    </row>
    <row r="462" spans="2:4">
      <c r="B462"/>
      <c r="C462"/>
      <c r="D462"/>
    </row>
    <row r="463" spans="2:4">
      <c r="B463"/>
      <c r="C463"/>
      <c r="D463"/>
    </row>
    <row r="464" spans="2:4">
      <c r="B464"/>
      <c r="C464"/>
      <c r="D464"/>
    </row>
    <row r="465" spans="2:4">
      <c r="B465"/>
      <c r="C465"/>
      <c r="D465"/>
    </row>
    <row r="466" spans="2:4">
      <c r="B466"/>
      <c r="C466"/>
      <c r="D466"/>
    </row>
    <row r="467" spans="2:4">
      <c r="B467"/>
      <c r="C467"/>
      <c r="D467"/>
    </row>
    <row r="468" spans="2:4">
      <c r="B468"/>
      <c r="C468"/>
      <c r="D468"/>
    </row>
    <row r="469" spans="2:4">
      <c r="B469"/>
      <c r="C469"/>
      <c r="D469"/>
    </row>
    <row r="470" spans="2:4">
      <c r="B470"/>
      <c r="C470"/>
      <c r="D470"/>
    </row>
    <row r="471" spans="2:4">
      <c r="B471"/>
      <c r="C471"/>
      <c r="D471"/>
    </row>
    <row r="472" spans="2:4">
      <c r="B472"/>
      <c r="C472"/>
      <c r="D472"/>
    </row>
    <row r="473" spans="2:4">
      <c r="B473"/>
      <c r="C473"/>
      <c r="D473"/>
    </row>
    <row r="474" spans="2:4">
      <c r="B474"/>
      <c r="C474"/>
      <c r="D474"/>
    </row>
    <row r="475" spans="2:4">
      <c r="B475"/>
      <c r="C475"/>
      <c r="D475"/>
    </row>
    <row r="476" spans="2:4">
      <c r="B476"/>
      <c r="C476"/>
      <c r="D476"/>
    </row>
    <row r="477" spans="2:4">
      <c r="B477"/>
      <c r="C477"/>
      <c r="D477"/>
    </row>
    <row r="478" spans="2:4">
      <c r="B478"/>
      <c r="C478"/>
      <c r="D478"/>
    </row>
    <row r="479" spans="2:4">
      <c r="B479"/>
      <c r="C479"/>
      <c r="D479"/>
    </row>
    <row r="480" spans="2:4">
      <c r="B480"/>
      <c r="C480"/>
      <c r="D480"/>
    </row>
    <row r="481" spans="2:4">
      <c r="B481"/>
      <c r="C481"/>
      <c r="D481"/>
    </row>
    <row r="482" spans="2:4">
      <c r="B482"/>
      <c r="C482"/>
      <c r="D482"/>
    </row>
    <row r="483" spans="2:4">
      <c r="B483"/>
      <c r="C483"/>
      <c r="D483"/>
    </row>
    <row r="484" spans="2:4">
      <c r="B484"/>
      <c r="C484"/>
      <c r="D484"/>
    </row>
    <row r="485" spans="2:4">
      <c r="B485"/>
      <c r="C485"/>
      <c r="D485"/>
    </row>
    <row r="486" spans="2:4">
      <c r="B486"/>
      <c r="C486"/>
      <c r="D486"/>
    </row>
    <row r="487" spans="2:4">
      <c r="B487"/>
      <c r="C487"/>
      <c r="D487"/>
    </row>
    <row r="488" spans="2:4">
      <c r="B488"/>
      <c r="C488"/>
      <c r="D488"/>
    </row>
    <row r="489" spans="2:4">
      <c r="B489"/>
      <c r="C489"/>
      <c r="D489"/>
    </row>
    <row r="490" spans="2:4">
      <c r="B490"/>
      <c r="C490"/>
      <c r="D490"/>
    </row>
    <row r="491" spans="2:4">
      <c r="B491"/>
      <c r="C491"/>
      <c r="D491"/>
    </row>
    <row r="492" spans="2:4">
      <c r="B492"/>
      <c r="C492"/>
      <c r="D492"/>
    </row>
    <row r="493" spans="2:4">
      <c r="B493"/>
      <c r="C493"/>
      <c r="D493"/>
    </row>
    <row r="494" spans="2:4">
      <c r="B494"/>
      <c r="C494"/>
      <c r="D494"/>
    </row>
    <row r="495" spans="2:4">
      <c r="B495"/>
      <c r="C495"/>
      <c r="D495"/>
    </row>
    <row r="496" spans="2:4">
      <c r="B496"/>
      <c r="C496"/>
      <c r="D496"/>
    </row>
    <row r="497" spans="2:4">
      <c r="B497"/>
      <c r="C497"/>
      <c r="D497"/>
    </row>
    <row r="498" spans="2:4">
      <c r="B498"/>
      <c r="C498"/>
      <c r="D498"/>
    </row>
    <row r="499" spans="2:4">
      <c r="B499"/>
      <c r="C499"/>
      <c r="D499"/>
    </row>
    <row r="500" spans="2:4">
      <c r="B500"/>
      <c r="C500"/>
      <c r="D500"/>
    </row>
    <row r="501" spans="2:4">
      <c r="B501"/>
      <c r="C501"/>
      <c r="D501"/>
    </row>
    <row r="502" spans="2:4">
      <c r="B502"/>
      <c r="C502"/>
      <c r="D502"/>
    </row>
    <row r="503" spans="2:4">
      <c r="B503"/>
      <c r="C503"/>
      <c r="D503"/>
    </row>
    <row r="504" spans="2:4">
      <c r="B504"/>
      <c r="C504"/>
      <c r="D504"/>
    </row>
    <row r="505" spans="2:4">
      <c r="B505"/>
      <c r="C505"/>
      <c r="D505"/>
    </row>
    <row r="506" spans="2:4">
      <c r="B506"/>
      <c r="C506"/>
      <c r="D506"/>
    </row>
    <row r="507" spans="2:4">
      <c r="B507"/>
      <c r="C507"/>
      <c r="D507"/>
    </row>
    <row r="508" spans="2:4">
      <c r="B508"/>
      <c r="C508"/>
      <c r="D508"/>
    </row>
    <row r="509" spans="2:4">
      <c r="B509"/>
      <c r="C509"/>
      <c r="D509"/>
    </row>
    <row r="510" spans="2:4">
      <c r="B510"/>
      <c r="C510"/>
      <c r="D510"/>
    </row>
    <row r="511" spans="2:4">
      <c r="B511"/>
      <c r="C511"/>
      <c r="D511"/>
    </row>
    <row r="512" spans="2:4">
      <c r="B512"/>
      <c r="C512"/>
      <c r="D512"/>
    </row>
    <row r="513" spans="2:4">
      <c r="B513"/>
      <c r="C513"/>
      <c r="D513"/>
    </row>
    <row r="514" spans="2:4">
      <c r="B514"/>
      <c r="C514"/>
      <c r="D514"/>
    </row>
    <row r="515" spans="2:4">
      <c r="B515"/>
      <c r="C515"/>
      <c r="D515"/>
    </row>
    <row r="516" spans="2:4">
      <c r="B516"/>
      <c r="C516"/>
      <c r="D516"/>
    </row>
    <row r="517" spans="2:4">
      <c r="B517"/>
      <c r="C517"/>
      <c r="D517"/>
    </row>
    <row r="518" spans="2:4">
      <c r="B518"/>
      <c r="C518"/>
      <c r="D518"/>
    </row>
    <row r="519" spans="2:4">
      <c r="B519"/>
      <c r="C519"/>
      <c r="D519"/>
    </row>
    <row r="520" spans="2:4">
      <c r="B520"/>
      <c r="C520"/>
      <c r="D520"/>
    </row>
    <row r="521" spans="2:4">
      <c r="B521"/>
      <c r="C521"/>
      <c r="D521"/>
    </row>
    <row r="522" spans="2:4">
      <c r="B522"/>
      <c r="C522"/>
      <c r="D522"/>
    </row>
    <row r="523" spans="2:4">
      <c r="B523"/>
      <c r="C523"/>
      <c r="D523"/>
    </row>
    <row r="524" spans="2:4">
      <c r="B524"/>
      <c r="C524"/>
      <c r="D524"/>
    </row>
    <row r="525" spans="2:4">
      <c r="B525"/>
      <c r="C525"/>
      <c r="D525"/>
    </row>
    <row r="526" spans="2:4">
      <c r="B526"/>
      <c r="C526"/>
      <c r="D526"/>
    </row>
    <row r="527" spans="2:4">
      <c r="B527"/>
      <c r="C527"/>
      <c r="D527"/>
    </row>
    <row r="528" spans="2:4">
      <c r="B528"/>
      <c r="C528"/>
      <c r="D528"/>
    </row>
    <row r="529" spans="2:4">
      <c r="B529"/>
      <c r="C529"/>
      <c r="D529"/>
    </row>
    <row r="530" spans="2:4">
      <c r="B530"/>
      <c r="C530"/>
      <c r="D530"/>
    </row>
    <row r="531" spans="2:4">
      <c r="B531"/>
      <c r="C531"/>
      <c r="D531"/>
    </row>
    <row r="532" spans="2:4">
      <c r="B532"/>
      <c r="C532"/>
      <c r="D532"/>
    </row>
    <row r="533" spans="2:4">
      <c r="B533"/>
      <c r="C533"/>
      <c r="D533"/>
    </row>
    <row r="534" spans="2:4">
      <c r="B534"/>
      <c r="C534"/>
      <c r="D534"/>
    </row>
    <row r="535" spans="2:4">
      <c r="B535"/>
      <c r="C535"/>
      <c r="D535"/>
    </row>
    <row r="536" spans="2:4">
      <c r="B536"/>
      <c r="C536"/>
      <c r="D536"/>
    </row>
    <row r="537" spans="2:4">
      <c r="B537"/>
      <c r="C537"/>
      <c r="D537"/>
    </row>
    <row r="538" spans="2:4">
      <c r="B538"/>
      <c r="C538"/>
      <c r="D538"/>
    </row>
    <row r="539" spans="2:4">
      <c r="B539"/>
      <c r="C539"/>
      <c r="D539"/>
    </row>
    <row r="540" spans="2:4">
      <c r="B540"/>
      <c r="C540"/>
      <c r="D540"/>
    </row>
    <row r="541" spans="2:4">
      <c r="B541"/>
      <c r="C541"/>
      <c r="D541"/>
    </row>
    <row r="542" spans="2:4">
      <c r="B542"/>
      <c r="C542"/>
      <c r="D542"/>
    </row>
    <row r="543" spans="2:4">
      <c r="B543"/>
      <c r="C543"/>
      <c r="D543"/>
    </row>
    <row r="544" spans="2:4">
      <c r="B544"/>
      <c r="C544"/>
      <c r="D544"/>
    </row>
    <row r="545" spans="2:4">
      <c r="B545"/>
      <c r="C545"/>
      <c r="D545"/>
    </row>
    <row r="546" spans="2:4">
      <c r="B546"/>
      <c r="C546"/>
      <c r="D546"/>
    </row>
    <row r="547" spans="2:4">
      <c r="B547"/>
      <c r="C547"/>
      <c r="D547"/>
    </row>
    <row r="548" spans="2:4">
      <c r="B548"/>
      <c r="C548"/>
      <c r="D548"/>
    </row>
    <row r="549" spans="2:4">
      <c r="B549"/>
      <c r="C549"/>
      <c r="D549"/>
    </row>
    <row r="550" spans="2:4">
      <c r="B550"/>
      <c r="C550"/>
      <c r="D550"/>
    </row>
    <row r="551" spans="2:4">
      <c r="B551"/>
      <c r="C551"/>
      <c r="D551"/>
    </row>
    <row r="552" spans="2:4">
      <c r="B552"/>
      <c r="C552"/>
      <c r="D552"/>
    </row>
    <row r="553" spans="2:4">
      <c r="B553"/>
      <c r="C553"/>
      <c r="D553"/>
    </row>
    <row r="554" spans="2:4">
      <c r="B554"/>
      <c r="C554"/>
      <c r="D554"/>
    </row>
    <row r="555" spans="2:4">
      <c r="B555"/>
      <c r="C555"/>
      <c r="D555"/>
    </row>
    <row r="556" spans="2:4">
      <c r="B556"/>
      <c r="C556"/>
      <c r="D556"/>
    </row>
    <row r="557" spans="2:4">
      <c r="B557"/>
      <c r="C557"/>
      <c r="D557"/>
    </row>
    <row r="558" spans="2:4">
      <c r="B558"/>
      <c r="C558"/>
      <c r="D558"/>
    </row>
    <row r="559" spans="2:4">
      <c r="B559"/>
      <c r="C559"/>
      <c r="D559"/>
    </row>
    <row r="560" spans="2:4">
      <c r="B560"/>
      <c r="C560"/>
      <c r="D560"/>
    </row>
    <row r="561" spans="2:4">
      <c r="B561"/>
      <c r="C561"/>
      <c r="D561"/>
    </row>
    <row r="562" spans="2:4">
      <c r="B562"/>
      <c r="C562"/>
      <c r="D562"/>
    </row>
    <row r="563" spans="2:4">
      <c r="B563"/>
      <c r="C563"/>
      <c r="D563"/>
    </row>
    <row r="564" spans="2:4">
      <c r="B564"/>
      <c r="C564"/>
      <c r="D564"/>
    </row>
    <row r="565" spans="2:4">
      <c r="B565"/>
      <c r="C565"/>
      <c r="D565"/>
    </row>
    <row r="566" spans="2:4">
      <c r="B566"/>
      <c r="C566"/>
      <c r="D566"/>
    </row>
    <row r="567" spans="2:4">
      <c r="B567"/>
      <c r="C567"/>
      <c r="D567"/>
    </row>
    <row r="568" spans="2:4">
      <c r="B568"/>
      <c r="C568"/>
      <c r="D568"/>
    </row>
    <row r="569" spans="2:4">
      <c r="B569"/>
      <c r="C569"/>
      <c r="D569"/>
    </row>
    <row r="570" spans="2:4">
      <c r="B570"/>
      <c r="C570"/>
      <c r="D570"/>
    </row>
    <row r="571" spans="2:4">
      <c r="B571"/>
      <c r="C571"/>
      <c r="D571"/>
    </row>
    <row r="572" spans="2:4">
      <c r="B572"/>
      <c r="C572"/>
      <c r="D572"/>
    </row>
    <row r="573" spans="2:4">
      <c r="B573"/>
      <c r="C573"/>
      <c r="D573"/>
    </row>
    <row r="574" spans="2:4">
      <c r="B574"/>
      <c r="C574"/>
      <c r="D574"/>
    </row>
    <row r="575" spans="2:4">
      <c r="B575"/>
      <c r="C575"/>
      <c r="D575"/>
    </row>
    <row r="576" spans="2:4">
      <c r="B576"/>
      <c r="C576"/>
      <c r="D576"/>
    </row>
    <row r="577" spans="2:4">
      <c r="B577"/>
      <c r="C577"/>
      <c r="D577"/>
    </row>
    <row r="578" spans="2:4">
      <c r="B578"/>
      <c r="C578"/>
      <c r="D578"/>
    </row>
    <row r="579" spans="2:4">
      <c r="B579"/>
      <c r="C579"/>
      <c r="D579"/>
    </row>
    <row r="580" spans="2:4">
      <c r="B580"/>
      <c r="C580"/>
      <c r="D580"/>
    </row>
    <row r="581" spans="2:4">
      <c r="B581"/>
      <c r="C581"/>
      <c r="D581"/>
    </row>
    <row r="582" spans="2:4">
      <c r="B582"/>
      <c r="C582"/>
      <c r="D582"/>
    </row>
    <row r="583" spans="2:4">
      <c r="B583"/>
      <c r="C583"/>
      <c r="D583"/>
    </row>
    <row r="584" spans="2:4">
      <c r="B584"/>
      <c r="C584"/>
      <c r="D584"/>
    </row>
    <row r="585" spans="2:4">
      <c r="B585"/>
      <c r="C585"/>
      <c r="D585"/>
    </row>
    <row r="586" spans="2:4">
      <c r="B586"/>
      <c r="C586"/>
      <c r="D586"/>
    </row>
    <row r="587" spans="2:4">
      <c r="B587"/>
      <c r="C587"/>
      <c r="D587"/>
    </row>
    <row r="588" spans="2:4">
      <c r="B588"/>
      <c r="C588"/>
      <c r="D588"/>
    </row>
    <row r="589" spans="2:4">
      <c r="B589"/>
      <c r="C589"/>
      <c r="D589"/>
    </row>
    <row r="590" spans="2:4">
      <c r="B590"/>
      <c r="C590"/>
      <c r="D590"/>
    </row>
    <row r="591" spans="2:4">
      <c r="B591"/>
      <c r="C591"/>
      <c r="D591"/>
    </row>
    <row r="592" spans="2:4">
      <c r="B592"/>
      <c r="C592"/>
      <c r="D592"/>
    </row>
    <row r="593" spans="2:4">
      <c r="B593"/>
      <c r="C593"/>
      <c r="D593"/>
    </row>
    <row r="594" spans="2:4">
      <c r="B594"/>
      <c r="C594"/>
      <c r="D594"/>
    </row>
    <row r="595" spans="2:4">
      <c r="B595"/>
      <c r="C595"/>
      <c r="D595"/>
    </row>
    <row r="596" spans="2:4">
      <c r="B596"/>
      <c r="C596"/>
      <c r="D596"/>
    </row>
    <row r="597" spans="2:4">
      <c r="B597"/>
      <c r="C597"/>
      <c r="D597"/>
    </row>
    <row r="598" spans="2:4">
      <c r="B598"/>
      <c r="C598"/>
      <c r="D598"/>
    </row>
    <row r="599" spans="2:4">
      <c r="B599"/>
      <c r="C599"/>
      <c r="D599"/>
    </row>
    <row r="600" spans="2:4">
      <c r="B600"/>
      <c r="C600"/>
      <c r="D600"/>
    </row>
    <row r="601" spans="2:4">
      <c r="B601"/>
      <c r="C601"/>
      <c r="D601"/>
    </row>
    <row r="602" spans="2:4">
      <c r="B602"/>
      <c r="C602"/>
      <c r="D602"/>
    </row>
    <row r="603" spans="2:4">
      <c r="B603"/>
      <c r="C603"/>
      <c r="D603"/>
    </row>
    <row r="604" spans="2:4">
      <c r="B604"/>
      <c r="C604"/>
      <c r="D604"/>
    </row>
    <row r="605" spans="2:4">
      <c r="B605"/>
      <c r="C605"/>
      <c r="D605"/>
    </row>
    <row r="606" spans="2:4">
      <c r="B606"/>
      <c r="C606"/>
      <c r="D606"/>
    </row>
    <row r="607" spans="2:4">
      <c r="B607"/>
      <c r="C607"/>
      <c r="D607"/>
    </row>
    <row r="608" spans="2:4">
      <c r="B608"/>
      <c r="C608"/>
      <c r="D608"/>
    </row>
    <row r="609" spans="2:4">
      <c r="B609"/>
      <c r="C609"/>
      <c r="D609"/>
    </row>
    <row r="610" spans="2:4">
      <c r="B610"/>
      <c r="C610"/>
      <c r="D610"/>
    </row>
    <row r="611" spans="2:4">
      <c r="B611"/>
      <c r="C611"/>
      <c r="D611"/>
    </row>
    <row r="612" spans="2:4">
      <c r="B612"/>
      <c r="C612"/>
      <c r="D612"/>
    </row>
    <row r="613" spans="2:4">
      <c r="B613"/>
      <c r="C613"/>
      <c r="D613"/>
    </row>
    <row r="614" spans="2:4">
      <c r="B614"/>
      <c r="C614"/>
      <c r="D614"/>
    </row>
    <row r="615" spans="2:4">
      <c r="B615"/>
      <c r="C615"/>
      <c r="D615"/>
    </row>
    <row r="616" spans="2:4">
      <c r="B616"/>
      <c r="C616"/>
      <c r="D616"/>
    </row>
    <row r="617" spans="2:4">
      <c r="B617"/>
      <c r="C617"/>
      <c r="D617"/>
    </row>
    <row r="618" spans="2:4">
      <c r="B618"/>
      <c r="C618"/>
      <c r="D618"/>
    </row>
    <row r="619" spans="2:4">
      <c r="B619"/>
      <c r="C619"/>
      <c r="D619"/>
    </row>
    <row r="620" spans="2:4">
      <c r="B620"/>
      <c r="C620"/>
      <c r="D620"/>
    </row>
    <row r="621" spans="2:4">
      <c r="B621"/>
      <c r="C621"/>
      <c r="D621"/>
    </row>
    <row r="622" spans="2:4">
      <c r="B622"/>
      <c r="C622"/>
      <c r="D622"/>
    </row>
    <row r="623" spans="2:4">
      <c r="B623"/>
      <c r="C623"/>
      <c r="D623"/>
    </row>
    <row r="624" spans="2:4">
      <c r="B624"/>
      <c r="C624"/>
      <c r="D624"/>
    </row>
    <row r="625" spans="2:4">
      <c r="B625"/>
      <c r="C625"/>
      <c r="D625"/>
    </row>
    <row r="626" spans="2:4">
      <c r="B626"/>
      <c r="C626"/>
      <c r="D626"/>
    </row>
    <row r="627" spans="2:4">
      <c r="B627"/>
      <c r="C627"/>
      <c r="D627"/>
    </row>
    <row r="628" spans="2:4">
      <c r="B628"/>
      <c r="C628"/>
      <c r="D628"/>
    </row>
    <row r="629" spans="2:4">
      <c r="B629"/>
      <c r="C629"/>
      <c r="D629"/>
    </row>
    <row r="630" spans="2:4">
      <c r="B630"/>
      <c r="C630"/>
      <c r="D630"/>
    </row>
    <row r="631" spans="2:4">
      <c r="B631"/>
      <c r="C631"/>
      <c r="D631"/>
    </row>
    <row r="632" spans="2:4">
      <c r="B632"/>
      <c r="C632"/>
      <c r="D632"/>
    </row>
    <row r="633" spans="2:4">
      <c r="B633"/>
      <c r="C633"/>
      <c r="D633"/>
    </row>
    <row r="634" spans="2:4">
      <c r="B634"/>
      <c r="C634"/>
      <c r="D634"/>
    </row>
    <row r="635" spans="2:4">
      <c r="B635"/>
      <c r="C635"/>
      <c r="D635"/>
    </row>
    <row r="636" spans="2:4">
      <c r="B636"/>
      <c r="C636"/>
      <c r="D636"/>
    </row>
    <row r="637" spans="2:4">
      <c r="B637"/>
      <c r="C637"/>
      <c r="D637"/>
    </row>
    <row r="638" spans="2:4">
      <c r="B638"/>
      <c r="C638"/>
      <c r="D638"/>
    </row>
    <row r="639" spans="2:4">
      <c r="B639"/>
      <c r="C639"/>
      <c r="D639"/>
    </row>
    <row r="640" spans="2:4">
      <c r="B640"/>
      <c r="C640"/>
      <c r="D640"/>
    </row>
    <row r="641" spans="2:4">
      <c r="B641"/>
      <c r="C641"/>
      <c r="D641"/>
    </row>
    <row r="642" spans="2:4">
      <c r="B642"/>
      <c r="C642"/>
      <c r="D642"/>
    </row>
    <row r="643" spans="2:4">
      <c r="B643"/>
      <c r="C643"/>
      <c r="D643"/>
    </row>
    <row r="644" spans="2:4">
      <c r="B644"/>
      <c r="C644"/>
      <c r="D644"/>
    </row>
    <row r="645" spans="2:4">
      <c r="B645"/>
      <c r="C645"/>
      <c r="D645"/>
    </row>
    <row r="646" spans="2:4">
      <c r="B646"/>
      <c r="C646"/>
      <c r="D646"/>
    </row>
    <row r="647" spans="2:4">
      <c r="B647"/>
      <c r="C647"/>
      <c r="D647"/>
    </row>
    <row r="648" spans="2:4">
      <c r="B648"/>
      <c r="C648"/>
      <c r="D648"/>
    </row>
    <row r="649" spans="2:4">
      <c r="B649"/>
      <c r="C649"/>
      <c r="D649"/>
    </row>
    <row r="650" spans="2:4">
      <c r="B650"/>
      <c r="C650"/>
      <c r="D650"/>
    </row>
    <row r="651" spans="2:4">
      <c r="B651"/>
      <c r="C651"/>
      <c r="D651"/>
    </row>
    <row r="652" spans="2:4">
      <c r="B652"/>
      <c r="C652"/>
      <c r="D652"/>
    </row>
    <row r="653" spans="2:4">
      <c r="B653"/>
      <c r="C653"/>
      <c r="D653"/>
    </row>
    <row r="654" spans="2:4">
      <c r="B654"/>
      <c r="C654"/>
      <c r="D654"/>
    </row>
    <row r="655" spans="2:4">
      <c r="B655"/>
      <c r="C655"/>
      <c r="D655"/>
    </row>
    <row r="656" spans="2:4">
      <c r="B656"/>
      <c r="C656"/>
      <c r="D656"/>
    </row>
    <row r="657" spans="2:4">
      <c r="B657"/>
      <c r="C657"/>
      <c r="D657"/>
    </row>
    <row r="658" spans="2:4">
      <c r="B658"/>
      <c r="C658"/>
      <c r="D658"/>
    </row>
    <row r="659" spans="2:4">
      <c r="B659"/>
      <c r="C659"/>
      <c r="D659"/>
    </row>
    <row r="660" spans="2:4">
      <c r="B660"/>
      <c r="C660"/>
      <c r="D660"/>
    </row>
    <row r="661" spans="2:4">
      <c r="B661"/>
      <c r="C661"/>
      <c r="D661"/>
    </row>
    <row r="662" spans="2:4">
      <c r="B662"/>
      <c r="C662"/>
      <c r="D662"/>
    </row>
    <row r="663" spans="2:4">
      <c r="B663"/>
      <c r="C663"/>
      <c r="D663"/>
    </row>
    <row r="664" spans="2:4">
      <c r="B664"/>
      <c r="C664"/>
      <c r="D664"/>
    </row>
    <row r="665" spans="2:4">
      <c r="B665"/>
      <c r="C665"/>
      <c r="D665"/>
    </row>
    <row r="666" spans="2:4">
      <c r="B666"/>
      <c r="C666"/>
      <c r="D666"/>
    </row>
    <row r="667" spans="2:4">
      <c r="B667"/>
      <c r="C667"/>
      <c r="D667"/>
    </row>
    <row r="668" spans="2:4">
      <c r="B668"/>
      <c r="C668"/>
      <c r="D668"/>
    </row>
    <row r="669" spans="2:4">
      <c r="B669"/>
      <c r="C669"/>
      <c r="D669"/>
    </row>
    <row r="670" spans="2:4">
      <c r="B670"/>
      <c r="C670"/>
      <c r="D670"/>
    </row>
    <row r="671" spans="2:4">
      <c r="B671"/>
      <c r="C671"/>
      <c r="D671"/>
    </row>
    <row r="672" spans="2:4">
      <c r="B672"/>
      <c r="C672"/>
      <c r="D672"/>
    </row>
    <row r="673" spans="2:4">
      <c r="B673"/>
      <c r="C673"/>
      <c r="D673"/>
    </row>
    <row r="674" spans="2:4">
      <c r="B674"/>
      <c r="C674"/>
      <c r="D674"/>
    </row>
    <row r="675" spans="2:4">
      <c r="B675"/>
      <c r="C675"/>
      <c r="D675"/>
    </row>
    <row r="676" spans="2:4">
      <c r="B676"/>
      <c r="C676"/>
      <c r="D676"/>
    </row>
    <row r="677" spans="2:4">
      <c r="B677"/>
      <c r="C677"/>
      <c r="D677"/>
    </row>
    <row r="678" spans="2:4">
      <c r="B678"/>
      <c r="C678"/>
      <c r="D678"/>
    </row>
    <row r="679" spans="2:4">
      <c r="B679"/>
      <c r="C679"/>
      <c r="D679"/>
    </row>
    <row r="680" spans="2:4">
      <c r="B680"/>
      <c r="C680"/>
      <c r="D680"/>
    </row>
    <row r="681" spans="2:4">
      <c r="B681"/>
      <c r="C681"/>
      <c r="D681"/>
    </row>
    <row r="682" spans="2:4">
      <c r="B682"/>
      <c r="C682"/>
      <c r="D682"/>
    </row>
    <row r="683" spans="2:4">
      <c r="B683"/>
      <c r="C683"/>
      <c r="D683"/>
    </row>
    <row r="684" spans="2:4">
      <c r="B684"/>
      <c r="C684"/>
      <c r="D684"/>
    </row>
    <row r="685" spans="2:4">
      <c r="B685"/>
      <c r="C685"/>
      <c r="D685"/>
    </row>
    <row r="686" spans="2:4">
      <c r="B686"/>
      <c r="C686"/>
      <c r="D686"/>
    </row>
    <row r="687" spans="2:4">
      <c r="B687"/>
      <c r="C687"/>
      <c r="D687"/>
    </row>
    <row r="688" spans="2:4">
      <c r="B688"/>
      <c r="C688"/>
      <c r="D688"/>
    </row>
    <row r="689" spans="2:4">
      <c r="B689"/>
      <c r="C689"/>
      <c r="D689"/>
    </row>
    <row r="690" spans="2:4">
      <c r="B690"/>
      <c r="C690"/>
      <c r="D690"/>
    </row>
    <row r="691" spans="2:4">
      <c r="B691"/>
      <c r="C691"/>
      <c r="D691"/>
    </row>
    <row r="692" spans="2:4">
      <c r="B692"/>
      <c r="C692"/>
      <c r="D692"/>
    </row>
    <row r="693" spans="2:4">
      <c r="B693"/>
      <c r="C693"/>
      <c r="D693"/>
    </row>
    <row r="694" spans="2:4">
      <c r="B694"/>
      <c r="C694"/>
      <c r="D694"/>
    </row>
    <row r="695" spans="2:4">
      <c r="B695"/>
      <c r="C695"/>
      <c r="D695"/>
    </row>
    <row r="696" spans="2:4">
      <c r="B696"/>
      <c r="C696"/>
      <c r="D696"/>
    </row>
    <row r="697" spans="2:4">
      <c r="B697"/>
      <c r="C697"/>
      <c r="D697"/>
    </row>
    <row r="698" spans="2:4">
      <c r="B698"/>
      <c r="C698"/>
      <c r="D698"/>
    </row>
    <row r="699" spans="2:4">
      <c r="B699"/>
      <c r="C699"/>
      <c r="D699"/>
    </row>
    <row r="700" spans="2:4">
      <c r="B700"/>
      <c r="C700"/>
      <c r="D700"/>
    </row>
    <row r="701" spans="2:4">
      <c r="B701"/>
      <c r="C701"/>
      <c r="D701"/>
    </row>
    <row r="702" spans="2:4">
      <c r="B702"/>
      <c r="C702"/>
      <c r="D702"/>
    </row>
    <row r="703" spans="2:4">
      <c r="B703"/>
      <c r="C703"/>
      <c r="D703"/>
    </row>
    <row r="704" spans="2:4">
      <c r="B704"/>
      <c r="C704"/>
      <c r="D704"/>
    </row>
    <row r="705" spans="2:4">
      <c r="B705"/>
      <c r="C705"/>
      <c r="D705"/>
    </row>
    <row r="706" spans="2:4">
      <c r="B706"/>
      <c r="C706"/>
      <c r="D706"/>
    </row>
    <row r="707" spans="2:4">
      <c r="B707"/>
      <c r="C707"/>
      <c r="D707"/>
    </row>
    <row r="708" spans="2:4">
      <c r="B708"/>
      <c r="C708"/>
      <c r="D708"/>
    </row>
    <row r="709" spans="2:4">
      <c r="B709"/>
      <c r="C709"/>
      <c r="D709"/>
    </row>
    <row r="710" spans="2:4">
      <c r="B710"/>
      <c r="C710"/>
      <c r="D710"/>
    </row>
    <row r="711" spans="2:4">
      <c r="B711"/>
      <c r="C711"/>
      <c r="D711"/>
    </row>
    <row r="712" spans="2:4">
      <c r="B712"/>
      <c r="C712"/>
      <c r="D712"/>
    </row>
    <row r="713" spans="2:4">
      <c r="B713"/>
      <c r="C713"/>
      <c r="D713"/>
    </row>
    <row r="714" spans="2:4">
      <c r="B714"/>
      <c r="C714"/>
      <c r="D714"/>
    </row>
    <row r="715" spans="2:4">
      <c r="B715"/>
      <c r="C715"/>
      <c r="D715"/>
    </row>
    <row r="716" spans="2:4">
      <c r="B716"/>
      <c r="C716"/>
      <c r="D716"/>
    </row>
    <row r="717" spans="2:4">
      <c r="B717"/>
      <c r="C717"/>
      <c r="D717"/>
    </row>
    <row r="718" spans="2:4">
      <c r="B718"/>
      <c r="C718"/>
      <c r="D718"/>
    </row>
    <row r="719" spans="2:4">
      <c r="B719"/>
      <c r="C719"/>
      <c r="D719"/>
    </row>
    <row r="720" spans="2:4">
      <c r="B720"/>
      <c r="C720"/>
      <c r="D720"/>
    </row>
    <row r="721" spans="2:4">
      <c r="B721"/>
      <c r="C721"/>
      <c r="D721"/>
    </row>
    <row r="722" spans="2:4">
      <c r="B722"/>
      <c r="C722"/>
      <c r="D722"/>
    </row>
    <row r="723" spans="2:4">
      <c r="B723"/>
      <c r="C723"/>
      <c r="D723"/>
    </row>
    <row r="724" spans="2:4">
      <c r="B724"/>
      <c r="C724"/>
      <c r="D724"/>
    </row>
    <row r="725" spans="2:4">
      <c r="B725"/>
      <c r="C725"/>
      <c r="D725"/>
    </row>
    <row r="726" spans="2:4">
      <c r="B726"/>
      <c r="C726"/>
      <c r="D726"/>
    </row>
    <row r="727" spans="2:4">
      <c r="B727"/>
      <c r="C727"/>
      <c r="D727"/>
    </row>
    <row r="728" spans="2:4">
      <c r="B728"/>
      <c r="C728"/>
      <c r="D728"/>
    </row>
    <row r="729" spans="2:4">
      <c r="B729"/>
      <c r="C729"/>
      <c r="D729"/>
    </row>
    <row r="730" spans="2:4">
      <c r="B730"/>
      <c r="C730"/>
      <c r="D730"/>
    </row>
    <row r="731" spans="2:4">
      <c r="B731"/>
      <c r="C731"/>
      <c r="D731"/>
    </row>
    <row r="732" spans="2:4">
      <c r="B732"/>
      <c r="C732"/>
      <c r="D732"/>
    </row>
    <row r="733" spans="2:4">
      <c r="B733"/>
      <c r="C733"/>
      <c r="D733"/>
    </row>
    <row r="734" spans="2:4">
      <c r="B734"/>
      <c r="C734"/>
      <c r="D734"/>
    </row>
    <row r="735" spans="2:4">
      <c r="B735"/>
      <c r="C735"/>
      <c r="D735"/>
    </row>
    <row r="736" spans="2:4">
      <c r="B736"/>
      <c r="C736"/>
      <c r="D736"/>
    </row>
    <row r="737" spans="2:4">
      <c r="B737"/>
      <c r="C737"/>
      <c r="D737"/>
    </row>
    <row r="738" spans="2:4">
      <c r="B738"/>
      <c r="C738"/>
      <c r="D738"/>
    </row>
  </sheetData>
  <mergeCells count="31">
    <mergeCell ref="A82:D82"/>
    <mergeCell ref="N6:N7"/>
    <mergeCell ref="O6:O7"/>
    <mergeCell ref="P6:P7"/>
    <mergeCell ref="Q6:Q7"/>
    <mergeCell ref="B6:B7"/>
    <mergeCell ref="C6:C7"/>
    <mergeCell ref="D6:D7"/>
    <mergeCell ref="E6:E7"/>
    <mergeCell ref="G6:G7"/>
    <mergeCell ref="I6:I7"/>
    <mergeCell ref="J6:J7"/>
    <mergeCell ref="A4:A8"/>
    <mergeCell ref="B4:E5"/>
    <mergeCell ref="M4:M7"/>
    <mergeCell ref="F5:F7"/>
    <mergeCell ref="K5:K7"/>
    <mergeCell ref="L5:L7"/>
    <mergeCell ref="N5:R5"/>
    <mergeCell ref="G4:J5"/>
    <mergeCell ref="R6:R7"/>
    <mergeCell ref="N4:Z4"/>
    <mergeCell ref="S6:S7"/>
    <mergeCell ref="X5:X7"/>
    <mergeCell ref="Y5:Y7"/>
    <mergeCell ref="Z5:Z7"/>
    <mergeCell ref="S5:W5"/>
    <mergeCell ref="T6:T7"/>
    <mergeCell ref="U6:U7"/>
    <mergeCell ref="V6:V7"/>
    <mergeCell ref="W6:W7"/>
  </mergeCells>
  <printOptions horizontalCentered="1"/>
  <pageMargins left="0.511811023622047" right="0.511811023622047" top="0.90551181102361999" bottom="0" header="0.511811023622047" footer="0.196850393700787"/>
  <pageSetup paperSize="9" scale="98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78"/>
  <sheetViews>
    <sheetView zoomScaleSheetLayoutView="100" workbookViewId="0">
      <pane xSplit="1" ySplit="10" topLeftCell="B47" activePane="bottomRight" state="frozen"/>
      <selection activeCell="AD68" sqref="AD68"/>
      <selection pane="topRight" activeCell="AD68" sqref="AD68"/>
      <selection pane="bottomLeft" activeCell="AD68" sqref="AD68"/>
      <selection pane="bottomRight" activeCell="H84" sqref="H84"/>
    </sheetView>
  </sheetViews>
  <sheetFormatPr defaultRowHeight="9"/>
  <cols>
    <col min="1" max="1" width="14.6640625" style="75" customWidth="1"/>
    <col min="2" max="2" width="7.5" style="75" bestFit="1" customWidth="1"/>
    <col min="3" max="3" width="8.1640625" style="75" bestFit="1" customWidth="1"/>
    <col min="4" max="9" width="13.1640625" style="75" customWidth="1"/>
    <col min="10" max="10" width="12.33203125" style="75" customWidth="1"/>
    <col min="11" max="14" width="13.1640625" style="75" customWidth="1"/>
    <col min="15" max="15" width="10.83203125" style="75" hidden="1" customWidth="1"/>
    <col min="16" max="16" width="0.1640625" style="75" customWidth="1"/>
    <col min="17" max="16384" width="9.33203125" style="75"/>
  </cols>
  <sheetData>
    <row r="1" spans="1:16" s="65" customFormat="1" ht="14.1" customHeight="1">
      <c r="A1" s="61" t="s">
        <v>122</v>
      </c>
      <c r="B1" s="62"/>
      <c r="C1" s="62"/>
      <c r="D1" s="62"/>
      <c r="E1" s="62"/>
      <c r="F1" s="63"/>
      <c r="G1" s="63"/>
      <c r="H1" s="63"/>
      <c r="I1" s="63"/>
      <c r="J1" s="63"/>
      <c r="K1" s="63"/>
      <c r="L1" s="63"/>
      <c r="M1" s="63"/>
      <c r="N1" s="64"/>
    </row>
    <row r="2" spans="1:16" s="65" customFormat="1" ht="11.25" customHeight="1">
      <c r="A2" s="66"/>
      <c r="B2" s="67"/>
      <c r="C2" s="67"/>
      <c r="D2" s="67"/>
      <c r="E2" s="67"/>
      <c r="F2" s="68"/>
      <c r="G2" s="68"/>
      <c r="H2" s="68"/>
      <c r="I2" s="68"/>
      <c r="J2" s="68"/>
      <c r="K2" s="68"/>
      <c r="L2" s="68"/>
      <c r="M2" s="68"/>
      <c r="N2" s="69"/>
    </row>
    <row r="3" spans="1:16" s="65" customFormat="1" ht="10.5" customHeight="1">
      <c r="A3" s="66"/>
      <c r="B3" s="67"/>
      <c r="C3" s="67"/>
      <c r="D3" s="67"/>
      <c r="E3" s="67"/>
      <c r="F3" s="68"/>
      <c r="G3" s="68"/>
      <c r="H3" s="68"/>
      <c r="I3" s="68"/>
      <c r="J3" s="68"/>
      <c r="K3" s="68"/>
      <c r="L3" s="68"/>
      <c r="M3" s="68"/>
      <c r="N3" s="69"/>
    </row>
    <row r="4" spans="1:16" s="65" customFormat="1" ht="14.1" customHeight="1">
      <c r="A4" s="70" t="s">
        <v>0</v>
      </c>
      <c r="B4" s="71"/>
      <c r="N4" s="72"/>
    </row>
    <row r="5" spans="1:16" ht="12.75" customHeight="1">
      <c r="A5" s="193" t="s">
        <v>1</v>
      </c>
      <c r="B5" s="196" t="s">
        <v>2</v>
      </c>
      <c r="C5" s="197"/>
      <c r="D5" s="197"/>
      <c r="E5" s="198"/>
      <c r="F5" s="199" t="s">
        <v>8</v>
      </c>
      <c r="G5" s="196" t="s">
        <v>10</v>
      </c>
      <c r="H5" s="197"/>
      <c r="I5" s="197"/>
      <c r="J5" s="197"/>
      <c r="K5" s="198"/>
      <c r="L5" s="73"/>
      <c r="M5" s="202" t="s">
        <v>12</v>
      </c>
      <c r="N5" s="74"/>
    </row>
    <row r="6" spans="1:16">
      <c r="A6" s="194"/>
      <c r="B6" s="76" t="s">
        <v>84</v>
      </c>
      <c r="C6" s="76" t="s">
        <v>85</v>
      </c>
      <c r="D6" s="77" t="s">
        <v>86</v>
      </c>
      <c r="E6" s="77" t="s">
        <v>20</v>
      </c>
      <c r="F6" s="200"/>
      <c r="G6" s="77" t="s">
        <v>87</v>
      </c>
      <c r="H6" s="205" t="s">
        <v>28</v>
      </c>
      <c r="I6" s="77" t="s">
        <v>88</v>
      </c>
      <c r="J6" s="77"/>
      <c r="K6" s="205" t="s">
        <v>17</v>
      </c>
      <c r="L6" s="78" t="s">
        <v>89</v>
      </c>
      <c r="M6" s="203"/>
      <c r="N6" s="78" t="s">
        <v>90</v>
      </c>
    </row>
    <row r="7" spans="1:16">
      <c r="A7" s="194"/>
      <c r="B7" s="79" t="s">
        <v>91</v>
      </c>
      <c r="C7" s="79" t="s">
        <v>86</v>
      </c>
      <c r="D7" s="80" t="s">
        <v>92</v>
      </c>
      <c r="E7" s="80" t="s">
        <v>93</v>
      </c>
      <c r="F7" s="201"/>
      <c r="G7" s="80" t="s">
        <v>94</v>
      </c>
      <c r="H7" s="204"/>
      <c r="I7" s="80" t="s">
        <v>95</v>
      </c>
      <c r="J7" s="80" t="s">
        <v>96</v>
      </c>
      <c r="K7" s="204"/>
      <c r="L7" s="80" t="s">
        <v>97</v>
      </c>
      <c r="M7" s="204"/>
      <c r="N7" s="80" t="s">
        <v>98</v>
      </c>
    </row>
    <row r="8" spans="1:16">
      <c r="A8" s="195"/>
      <c r="B8" s="81">
        <v>1</v>
      </c>
      <c r="C8" s="82">
        <v>2</v>
      </c>
      <c r="D8" s="82">
        <v>3</v>
      </c>
      <c r="E8" s="82">
        <v>4</v>
      </c>
      <c r="F8" s="83">
        <v>5</v>
      </c>
      <c r="G8" s="81">
        <v>6</v>
      </c>
      <c r="H8" s="82">
        <v>7</v>
      </c>
      <c r="I8" s="82">
        <v>8</v>
      </c>
      <c r="J8" s="82">
        <v>9</v>
      </c>
      <c r="K8" s="82">
        <v>10</v>
      </c>
      <c r="L8" s="82">
        <v>11</v>
      </c>
      <c r="M8" s="81">
        <v>12</v>
      </c>
      <c r="N8" s="82">
        <v>13</v>
      </c>
    </row>
    <row r="9" spans="1:16" s="87" customFormat="1" hidden="1">
      <c r="A9" s="84" t="s">
        <v>99</v>
      </c>
      <c r="B9" s="85"/>
      <c r="C9" s="85"/>
      <c r="D9" s="85"/>
      <c r="E9" s="85"/>
      <c r="F9" s="86"/>
      <c r="G9" s="85"/>
      <c r="H9" s="85"/>
      <c r="I9" s="85"/>
      <c r="J9" s="85"/>
      <c r="K9" s="85"/>
      <c r="L9" s="85"/>
      <c r="M9" s="85"/>
      <c r="N9" s="85"/>
    </row>
    <row r="10" spans="1:16" s="87" customFormat="1" hidden="1">
      <c r="A10" s="88" t="s">
        <v>100</v>
      </c>
      <c r="B10" s="89"/>
      <c r="C10" s="89"/>
      <c r="D10" s="89"/>
      <c r="E10" s="89"/>
      <c r="F10" s="90"/>
      <c r="G10" s="89"/>
      <c r="H10" s="89"/>
      <c r="I10" s="89"/>
      <c r="J10" s="89"/>
      <c r="K10" s="89"/>
      <c r="L10" s="89"/>
      <c r="M10" s="89"/>
      <c r="N10" s="89"/>
    </row>
    <row r="11" spans="1:16" s="87" customFormat="1" ht="9" customHeight="1">
      <c r="A11" s="88" t="s">
        <v>32</v>
      </c>
      <c r="B11" s="91">
        <v>23.86</v>
      </c>
      <c r="C11" s="91">
        <v>-0.14000000000000001</v>
      </c>
      <c r="D11" s="91">
        <v>35.22</v>
      </c>
      <c r="E11" s="91">
        <v>14.19</v>
      </c>
      <c r="F11" s="92">
        <v>73.13</v>
      </c>
      <c r="G11" s="91">
        <v>48.12</v>
      </c>
      <c r="H11" s="91">
        <v>5</v>
      </c>
      <c r="I11" s="91">
        <v>2.97</v>
      </c>
      <c r="J11" s="93" t="s">
        <v>47</v>
      </c>
      <c r="K11" s="91">
        <v>56.09</v>
      </c>
      <c r="L11" s="91">
        <v>2.5</v>
      </c>
      <c r="M11" s="91">
        <v>4.46</v>
      </c>
      <c r="N11" s="91">
        <v>10.08</v>
      </c>
      <c r="O11" s="94">
        <v>113.44</v>
      </c>
      <c r="P11" s="75">
        <v>0</v>
      </c>
    </row>
    <row r="12" spans="1:16" s="87" customFormat="1" ht="9" customHeight="1">
      <c r="A12" s="88" t="s">
        <v>33</v>
      </c>
      <c r="B12" s="91">
        <v>23.96</v>
      </c>
      <c r="C12" s="91">
        <v>5.44</v>
      </c>
      <c r="D12" s="91">
        <v>93.84</v>
      </c>
      <c r="E12" s="91">
        <v>19.98</v>
      </c>
      <c r="F12" s="92">
        <v>143.22</v>
      </c>
      <c r="G12" s="91">
        <v>108.01</v>
      </c>
      <c r="H12" s="91">
        <v>7</v>
      </c>
      <c r="I12" s="91">
        <v>7.8040000000000003</v>
      </c>
      <c r="J12" s="93" t="s">
        <v>47</v>
      </c>
      <c r="K12" s="91">
        <v>122.81</v>
      </c>
      <c r="L12" s="93" t="s">
        <v>47</v>
      </c>
      <c r="M12" s="91">
        <v>9.36</v>
      </c>
      <c r="N12" s="91">
        <v>11.05</v>
      </c>
      <c r="O12" s="94">
        <v>138.24</v>
      </c>
      <c r="P12" s="75">
        <v>0</v>
      </c>
    </row>
    <row r="13" spans="1:16" s="87" customFormat="1" ht="9" customHeight="1">
      <c r="A13" s="88" t="s">
        <v>34</v>
      </c>
      <c r="B13" s="91">
        <v>23.96</v>
      </c>
      <c r="C13" s="91">
        <v>6.96</v>
      </c>
      <c r="D13" s="91">
        <v>158.87</v>
      </c>
      <c r="E13" s="91">
        <v>10.199999999999999</v>
      </c>
      <c r="F13" s="92">
        <v>199.98</v>
      </c>
      <c r="G13" s="91">
        <v>130.61000000000001</v>
      </c>
      <c r="H13" s="91">
        <v>35</v>
      </c>
      <c r="I13" s="91">
        <v>8602</v>
      </c>
      <c r="J13" s="93" t="s">
        <v>47</v>
      </c>
      <c r="K13" s="91">
        <v>174.21</v>
      </c>
      <c r="L13" s="93" t="s">
        <v>47</v>
      </c>
      <c r="M13" s="91">
        <v>13.59</v>
      </c>
      <c r="N13" s="91">
        <v>12.18</v>
      </c>
      <c r="O13" s="94">
        <v>200.66</v>
      </c>
      <c r="P13" s="75">
        <v>1.0000000000019327E-2</v>
      </c>
    </row>
    <row r="14" spans="1:16" s="87" customFormat="1" ht="9" customHeight="1">
      <c r="A14" s="88" t="s">
        <v>35</v>
      </c>
      <c r="B14" s="91">
        <v>23.98</v>
      </c>
      <c r="C14" s="91">
        <v>9.39</v>
      </c>
      <c r="D14" s="91">
        <v>282.2</v>
      </c>
      <c r="E14" s="91">
        <v>35.68</v>
      </c>
      <c r="F14" s="92">
        <v>351.25</v>
      </c>
      <c r="G14" s="91">
        <v>167.96</v>
      </c>
      <c r="H14" s="91">
        <v>123.9</v>
      </c>
      <c r="I14" s="91">
        <v>10.18</v>
      </c>
      <c r="J14" s="93" t="s">
        <v>47</v>
      </c>
      <c r="K14" s="91">
        <v>302.02999999999997</v>
      </c>
      <c r="L14" s="91">
        <v>3.73</v>
      </c>
      <c r="M14" s="91">
        <v>22.46</v>
      </c>
      <c r="N14" s="91">
        <v>23.03</v>
      </c>
      <c r="O14" s="94">
        <v>355.87</v>
      </c>
      <c r="P14" s="75">
        <v>0</v>
      </c>
    </row>
    <row r="15" spans="1:16" s="87" customFormat="1" ht="9" customHeight="1">
      <c r="A15" s="88" t="s">
        <v>36</v>
      </c>
      <c r="B15" s="91">
        <v>27.58</v>
      </c>
      <c r="C15" s="91">
        <v>14.34</v>
      </c>
      <c r="D15" s="91">
        <v>563.82000000000005</v>
      </c>
      <c r="E15" s="91">
        <v>51.94</v>
      </c>
      <c r="F15" s="92">
        <v>657.68</v>
      </c>
      <c r="G15" s="91">
        <v>234.12</v>
      </c>
      <c r="H15" s="91">
        <v>233.5</v>
      </c>
      <c r="I15" s="91">
        <v>14.9</v>
      </c>
      <c r="J15" s="93" t="s">
        <v>47</v>
      </c>
      <c r="K15" s="91">
        <v>482.52</v>
      </c>
      <c r="L15" s="91">
        <v>116.53</v>
      </c>
      <c r="M15" s="91">
        <v>26.86</v>
      </c>
      <c r="N15" s="91">
        <v>31.77</v>
      </c>
      <c r="O15" s="94">
        <v>676.86</v>
      </c>
      <c r="P15" s="75">
        <v>0</v>
      </c>
    </row>
    <row r="16" spans="1:16" s="87" customFormat="1" ht="9" customHeight="1">
      <c r="A16" s="88" t="s">
        <v>37</v>
      </c>
      <c r="B16" s="91">
        <v>31.18</v>
      </c>
      <c r="C16" s="91">
        <v>16.02</v>
      </c>
      <c r="D16" s="91">
        <v>989.84</v>
      </c>
      <c r="E16" s="91">
        <v>96.17</v>
      </c>
      <c r="F16" s="92">
        <v>1133.21</v>
      </c>
      <c r="G16" s="91">
        <v>456.89</v>
      </c>
      <c r="H16" s="91">
        <v>272.61</v>
      </c>
      <c r="I16" s="91">
        <v>44.84</v>
      </c>
      <c r="J16" s="93" t="s">
        <v>47</v>
      </c>
      <c r="K16" s="91">
        <v>774.34</v>
      </c>
      <c r="L16" s="91">
        <v>167.14</v>
      </c>
      <c r="M16" s="91">
        <v>92.59</v>
      </c>
      <c r="N16" s="91">
        <v>99.14</v>
      </c>
      <c r="O16" s="94">
        <v>1131.03</v>
      </c>
      <c r="P16" s="75">
        <v>9.9999999997635314E-3</v>
      </c>
    </row>
    <row r="17" spans="1:16" s="87" customFormat="1" ht="9" customHeight="1">
      <c r="A17" s="88" t="s">
        <v>38</v>
      </c>
      <c r="B17" s="91">
        <v>35.18</v>
      </c>
      <c r="C17" s="91">
        <v>14.02</v>
      </c>
      <c r="D17" s="91">
        <v>1529.7</v>
      </c>
      <c r="E17" s="91">
        <v>135.65</v>
      </c>
      <c r="F17" s="92">
        <v>1714.55</v>
      </c>
      <c r="G17" s="91">
        <v>766.22</v>
      </c>
      <c r="H17" s="91">
        <v>304.04000000000002</v>
      </c>
      <c r="I17" s="91">
        <v>60.93</v>
      </c>
      <c r="J17" s="93" t="s">
        <v>47</v>
      </c>
      <c r="K17" s="91">
        <v>1131.19</v>
      </c>
      <c r="L17" s="91">
        <v>316.41000000000003</v>
      </c>
      <c r="M17" s="91">
        <v>121.48</v>
      </c>
      <c r="N17" s="91">
        <v>145.27000000000001</v>
      </c>
      <c r="O17" s="94">
        <v>1705.83</v>
      </c>
      <c r="P17" s="75">
        <v>0</v>
      </c>
    </row>
    <row r="18" spans="1:16" s="87" customFormat="1" ht="9" customHeight="1">
      <c r="A18" s="88" t="s">
        <v>39</v>
      </c>
      <c r="B18" s="91">
        <v>39.99</v>
      </c>
      <c r="C18" s="91">
        <v>13.44</v>
      </c>
      <c r="D18" s="91">
        <v>2749.55</v>
      </c>
      <c r="E18" s="91">
        <v>223.83</v>
      </c>
      <c r="F18" s="92">
        <v>3026.8</v>
      </c>
      <c r="G18" s="91">
        <v>1496.12</v>
      </c>
      <c r="H18" s="91">
        <v>228.23</v>
      </c>
      <c r="I18" s="91">
        <v>138.34</v>
      </c>
      <c r="J18" s="93" t="s">
        <v>47</v>
      </c>
      <c r="K18" s="91">
        <v>1662.71</v>
      </c>
      <c r="L18" s="91">
        <v>573.02</v>
      </c>
      <c r="M18" s="91">
        <v>418.43</v>
      </c>
      <c r="N18" s="91">
        <v>172.64</v>
      </c>
      <c r="O18" s="94">
        <v>3025.91</v>
      </c>
      <c r="P18" s="75">
        <v>0</v>
      </c>
    </row>
    <row r="19" spans="1:16" s="96" customFormat="1" ht="9" customHeight="1">
      <c r="A19" s="95" t="s">
        <v>41</v>
      </c>
      <c r="B19" s="91">
        <v>39.99</v>
      </c>
      <c r="C19" s="91">
        <v>37.89</v>
      </c>
      <c r="D19" s="91">
        <v>4534.1899999999996</v>
      </c>
      <c r="E19" s="91">
        <v>200.34</v>
      </c>
      <c r="F19" s="92">
        <v>4812.43</v>
      </c>
      <c r="G19" s="91">
        <v>1706.15</v>
      </c>
      <c r="H19" s="91">
        <v>899.93</v>
      </c>
      <c r="I19" s="91">
        <v>170.54</v>
      </c>
      <c r="J19" s="93" t="s">
        <v>47</v>
      </c>
      <c r="K19" s="91">
        <v>2776.62</v>
      </c>
      <c r="L19" s="91">
        <v>625.87</v>
      </c>
      <c r="M19" s="91">
        <v>1166.19</v>
      </c>
      <c r="N19" s="91">
        <v>243.74</v>
      </c>
      <c r="O19" s="94">
        <v>4812.47</v>
      </c>
      <c r="P19" s="75">
        <v>2.0000000000436557E-2</v>
      </c>
    </row>
    <row r="20" spans="1:16" ht="9" customHeight="1">
      <c r="A20" s="88" t="s">
        <v>42</v>
      </c>
      <c r="B20" s="97">
        <v>39.99</v>
      </c>
      <c r="C20" s="97">
        <v>45.82</v>
      </c>
      <c r="D20" s="97">
        <v>5269</v>
      </c>
      <c r="E20" s="97" t="s">
        <v>101</v>
      </c>
      <c r="F20" s="98">
        <v>5833.28</v>
      </c>
      <c r="G20" s="97">
        <v>1705.09</v>
      </c>
      <c r="H20" s="97">
        <v>1763</v>
      </c>
      <c r="I20" s="97">
        <v>148.32</v>
      </c>
      <c r="J20" s="93" t="s">
        <v>47</v>
      </c>
      <c r="K20" s="97">
        <v>3616.41</v>
      </c>
      <c r="L20" s="97">
        <v>1033.54</v>
      </c>
      <c r="M20" s="97">
        <v>691.84</v>
      </c>
      <c r="N20" s="97">
        <v>491.49</v>
      </c>
      <c r="O20" s="94">
        <v>5831.52</v>
      </c>
      <c r="P20" s="75">
        <v>-9.9999999998544808E-2</v>
      </c>
    </row>
    <row r="21" spans="1:16" ht="9" customHeight="1">
      <c r="A21" s="88" t="s">
        <v>43</v>
      </c>
      <c r="B21" s="97">
        <v>39.99</v>
      </c>
      <c r="C21" s="97">
        <v>69.010000000000005</v>
      </c>
      <c r="D21" s="97">
        <v>6716.25</v>
      </c>
      <c r="E21" s="97">
        <v>432.54</v>
      </c>
      <c r="F21" s="98">
        <v>7257.79</v>
      </c>
      <c r="G21" s="97">
        <v>1758.99</v>
      </c>
      <c r="H21" s="97">
        <v>3237.5</v>
      </c>
      <c r="I21" s="97">
        <v>144.51</v>
      </c>
      <c r="J21" s="93" t="s">
        <v>47</v>
      </c>
      <c r="K21" s="97">
        <v>5141</v>
      </c>
      <c r="L21" s="97">
        <v>757.31</v>
      </c>
      <c r="M21" s="97">
        <v>866.06</v>
      </c>
      <c r="N21" s="97">
        <v>493.42</v>
      </c>
      <c r="O21" s="94">
        <v>6784.61</v>
      </c>
      <c r="P21" s="75">
        <v>3.0000000000654836E-2</v>
      </c>
    </row>
    <row r="22" spans="1:16" ht="9" customHeight="1">
      <c r="A22" s="88" t="s">
        <v>44</v>
      </c>
      <c r="B22" s="97">
        <v>40</v>
      </c>
      <c r="C22" s="97">
        <v>95.72</v>
      </c>
      <c r="D22" s="97">
        <v>8573.57</v>
      </c>
      <c r="E22" s="97">
        <v>831.91</v>
      </c>
      <c r="F22" s="98">
        <v>9541.19</v>
      </c>
      <c r="G22" s="97">
        <v>2107.12</v>
      </c>
      <c r="H22" s="97">
        <v>4300</v>
      </c>
      <c r="I22" s="97">
        <v>198.5</v>
      </c>
      <c r="J22" s="93" t="s">
        <v>47</v>
      </c>
      <c r="K22" s="97">
        <v>6605.63</v>
      </c>
      <c r="L22" s="97">
        <v>997.07</v>
      </c>
      <c r="M22" s="97">
        <v>1043.42</v>
      </c>
      <c r="N22" s="97">
        <v>895.07</v>
      </c>
      <c r="O22" s="99"/>
      <c r="P22" s="100"/>
    </row>
    <row r="23" spans="1:16" ht="9" customHeight="1">
      <c r="A23" s="88" t="s">
        <v>45</v>
      </c>
      <c r="B23" s="97">
        <v>60</v>
      </c>
      <c r="C23" s="97">
        <v>130.86000000000001</v>
      </c>
      <c r="D23" s="97">
        <v>11519.41</v>
      </c>
      <c r="E23" s="97">
        <v>661.16</v>
      </c>
      <c r="F23" s="98">
        <v>12371.42</v>
      </c>
      <c r="G23" s="97">
        <v>2333.7399999999998</v>
      </c>
      <c r="H23" s="97">
        <v>5931.7</v>
      </c>
      <c r="I23" s="97">
        <v>262.83999999999997</v>
      </c>
      <c r="J23" s="93" t="s">
        <v>47</v>
      </c>
      <c r="K23" s="97">
        <v>8528.2800000000007</v>
      </c>
      <c r="L23" s="97">
        <v>2388.5100000000002</v>
      </c>
      <c r="M23" s="97">
        <v>729.57</v>
      </c>
      <c r="N23" s="97">
        <v>725.06</v>
      </c>
      <c r="O23" s="99"/>
      <c r="P23" s="100"/>
    </row>
    <row r="24" spans="1:16" ht="9" customHeight="1">
      <c r="A24" s="88" t="s">
        <v>46</v>
      </c>
      <c r="B24" s="97">
        <v>79.989999999999995</v>
      </c>
      <c r="C24" s="97">
        <v>288.83999999999997</v>
      </c>
      <c r="D24" s="97">
        <v>14166.85</v>
      </c>
      <c r="E24" s="97">
        <v>10843.83</v>
      </c>
      <c r="F24" s="98">
        <v>25379.51</v>
      </c>
      <c r="G24" s="97">
        <v>1683.8</v>
      </c>
      <c r="H24" s="97">
        <v>8903.1</v>
      </c>
      <c r="I24" s="97">
        <v>1608</v>
      </c>
      <c r="J24" s="93" t="s">
        <v>47</v>
      </c>
      <c r="K24" s="97">
        <v>12194.9</v>
      </c>
      <c r="L24" s="97">
        <v>2686.8</v>
      </c>
      <c r="M24" s="97">
        <v>9776.99</v>
      </c>
      <c r="N24" s="97">
        <v>720.8</v>
      </c>
      <c r="O24" s="99"/>
      <c r="P24" s="100"/>
    </row>
    <row r="25" spans="1:16" s="87" customFormat="1" ht="9" customHeight="1">
      <c r="A25" s="88" t="s">
        <v>49</v>
      </c>
      <c r="B25" s="101">
        <v>100</v>
      </c>
      <c r="C25" s="101">
        <v>562.44000000000005</v>
      </c>
      <c r="D25" s="101">
        <v>20141.599999999999</v>
      </c>
      <c r="E25" s="101">
        <v>1843.8</v>
      </c>
      <c r="F25" s="102">
        <v>22647.84</v>
      </c>
      <c r="G25" s="101">
        <v>1683.82</v>
      </c>
      <c r="H25" s="101">
        <v>13597</v>
      </c>
      <c r="I25" s="101">
        <v>1624</v>
      </c>
      <c r="J25" s="93" t="s">
        <v>47</v>
      </c>
      <c r="K25" s="101">
        <v>16904.82</v>
      </c>
      <c r="L25" s="101">
        <v>3541</v>
      </c>
      <c r="M25" s="101">
        <v>800</v>
      </c>
      <c r="N25" s="103">
        <v>1401.98</v>
      </c>
      <c r="O25" s="104">
        <v>1401.98</v>
      </c>
      <c r="P25" s="104"/>
    </row>
    <row r="26" spans="1:16" s="87" customFormat="1" ht="9" customHeight="1">
      <c r="A26" s="88" t="s">
        <v>51</v>
      </c>
      <c r="B26" s="101">
        <v>125</v>
      </c>
      <c r="C26" s="101">
        <v>805.88</v>
      </c>
      <c r="D26" s="101">
        <v>23554</v>
      </c>
      <c r="E26" s="101">
        <v>2420.6799999999998</v>
      </c>
      <c r="F26" s="102">
        <v>26905.56</v>
      </c>
      <c r="G26" s="101">
        <v>2163.83</v>
      </c>
      <c r="H26" s="101">
        <v>14691.5</v>
      </c>
      <c r="I26" s="101">
        <v>1931.29</v>
      </c>
      <c r="J26" s="101">
        <v>200</v>
      </c>
      <c r="K26" s="101">
        <v>18986.62</v>
      </c>
      <c r="L26" s="101">
        <v>4363.8</v>
      </c>
      <c r="M26" s="101">
        <v>700</v>
      </c>
      <c r="N26" s="103">
        <v>2855.14</v>
      </c>
      <c r="O26" s="87">
        <v>2855.14</v>
      </c>
    </row>
    <row r="27" spans="1:16" ht="9" customHeight="1">
      <c r="A27" s="105" t="s">
        <v>52</v>
      </c>
      <c r="B27" s="106">
        <v>125</v>
      </c>
      <c r="C27" s="106">
        <v>805</v>
      </c>
      <c r="D27" s="106">
        <v>24808</v>
      </c>
      <c r="E27" s="106">
        <v>2832</v>
      </c>
      <c r="F27" s="107">
        <v>28570</v>
      </c>
      <c r="G27" s="106">
        <v>2163.83</v>
      </c>
      <c r="H27" s="106">
        <v>16273.5</v>
      </c>
      <c r="I27" s="106">
        <v>1936.7</v>
      </c>
      <c r="J27" s="93">
        <v>200</v>
      </c>
      <c r="K27" s="106">
        <v>20574.03</v>
      </c>
      <c r="L27" s="106">
        <v>6158</v>
      </c>
      <c r="M27" s="106">
        <v>700</v>
      </c>
      <c r="N27" s="97">
        <v>1138</v>
      </c>
      <c r="O27" s="75">
        <v>1181.81</v>
      </c>
    </row>
    <row r="28" spans="1:16" s="87" customFormat="1" ht="9" customHeight="1">
      <c r="A28" s="88" t="s">
        <v>53</v>
      </c>
      <c r="B28" s="101">
        <v>160</v>
      </c>
      <c r="C28" s="101">
        <v>1169</v>
      </c>
      <c r="D28" s="101">
        <v>31388.6</v>
      </c>
      <c r="E28" s="101">
        <v>5350.9</v>
      </c>
      <c r="F28" s="102">
        <v>38068.5</v>
      </c>
      <c r="G28" s="101">
        <v>3274.51</v>
      </c>
      <c r="H28" s="101">
        <v>12857</v>
      </c>
      <c r="I28" s="101">
        <v>2216.34</v>
      </c>
      <c r="J28" s="93" t="s">
        <v>47</v>
      </c>
      <c r="K28" s="101">
        <v>18347.849999999999</v>
      </c>
      <c r="L28" s="101">
        <v>9657.1299999999992</v>
      </c>
      <c r="M28" s="101">
        <v>2800</v>
      </c>
      <c r="N28" s="103">
        <v>7263.55</v>
      </c>
      <c r="O28" s="87">
        <v>1181.81</v>
      </c>
    </row>
    <row r="29" spans="1:16" ht="9" customHeight="1">
      <c r="A29" s="105" t="s">
        <v>54</v>
      </c>
      <c r="B29" s="106">
        <v>216</v>
      </c>
      <c r="C29" s="106">
        <v>979</v>
      </c>
      <c r="D29" s="106">
        <v>35999.599999999999</v>
      </c>
      <c r="E29" s="106">
        <v>840.24</v>
      </c>
      <c r="F29" s="107">
        <v>38034.839999999997</v>
      </c>
      <c r="G29" s="106">
        <v>3274.51</v>
      </c>
      <c r="H29" s="106">
        <v>17159.75</v>
      </c>
      <c r="I29" s="106">
        <v>3076.37</v>
      </c>
      <c r="J29" s="93" t="s">
        <v>47</v>
      </c>
      <c r="K29" s="106">
        <v>23510.63</v>
      </c>
      <c r="L29" s="106">
        <v>11340</v>
      </c>
      <c r="M29" s="106">
        <v>974</v>
      </c>
      <c r="N29" s="97">
        <v>2210.21</v>
      </c>
      <c r="O29" s="75">
        <v>1181.81</v>
      </c>
    </row>
    <row r="30" spans="1:16" s="87" customFormat="1" ht="9" customHeight="1">
      <c r="A30" s="88" t="s">
        <v>55</v>
      </c>
      <c r="B30" s="101">
        <v>300</v>
      </c>
      <c r="C30" s="101">
        <v>1052.25</v>
      </c>
      <c r="D30" s="101">
        <v>40324.6</v>
      </c>
      <c r="E30" s="101">
        <v>1076.74</v>
      </c>
      <c r="F30" s="102">
        <v>42753.59</v>
      </c>
      <c r="G30" s="101">
        <v>2524.5</v>
      </c>
      <c r="H30" s="101">
        <v>21838.5</v>
      </c>
      <c r="I30" s="101">
        <v>2930.36</v>
      </c>
      <c r="J30" s="93" t="s">
        <v>47</v>
      </c>
      <c r="K30" s="101">
        <v>27293.360000000001</v>
      </c>
      <c r="L30" s="101">
        <v>11741.1</v>
      </c>
      <c r="M30" s="101">
        <v>1185.1500000000001</v>
      </c>
      <c r="N30" s="103">
        <v>2533.98</v>
      </c>
      <c r="O30" s="87">
        <v>1181.81</v>
      </c>
    </row>
    <row r="31" spans="1:16" ht="9" customHeight="1">
      <c r="A31" s="108" t="s">
        <v>57</v>
      </c>
      <c r="B31" s="106">
        <v>300</v>
      </c>
      <c r="C31" s="106">
        <v>1109.43</v>
      </c>
      <c r="D31" s="106">
        <v>45310.27</v>
      </c>
      <c r="E31" s="106">
        <v>1245.75</v>
      </c>
      <c r="F31" s="107">
        <v>47965.45</v>
      </c>
      <c r="G31" s="106">
        <v>2524.5</v>
      </c>
      <c r="H31" s="106">
        <v>21835</v>
      </c>
      <c r="I31" s="106">
        <v>2982.2799999999997</v>
      </c>
      <c r="J31" s="93" t="s">
        <v>47</v>
      </c>
      <c r="K31" s="106">
        <v>27341.78</v>
      </c>
      <c r="L31" s="106">
        <v>14606.84</v>
      </c>
      <c r="M31" s="106">
        <v>2515.25</v>
      </c>
      <c r="N31" s="97">
        <v>3501.58</v>
      </c>
      <c r="O31" s="75">
        <v>1181.81</v>
      </c>
    </row>
    <row r="32" spans="1:16" s="87" customFormat="1" ht="9" customHeight="1">
      <c r="A32" s="109" t="s">
        <v>102</v>
      </c>
      <c r="B32" s="101">
        <v>450</v>
      </c>
      <c r="C32" s="101">
        <v>1684.69</v>
      </c>
      <c r="D32" s="101">
        <v>51784.1</v>
      </c>
      <c r="E32" s="101">
        <v>702.52</v>
      </c>
      <c r="F32" s="102">
        <v>54621.31</v>
      </c>
      <c r="G32" s="101">
        <v>2470.41</v>
      </c>
      <c r="H32" s="101">
        <v>20895</v>
      </c>
      <c r="I32" s="101">
        <v>2948.7200000000003</v>
      </c>
      <c r="J32" s="93" t="s">
        <v>47</v>
      </c>
      <c r="K32" s="101">
        <v>26314.13</v>
      </c>
      <c r="L32" s="101">
        <v>17905.09</v>
      </c>
      <c r="M32" s="101">
        <v>7562.34</v>
      </c>
      <c r="N32" s="103">
        <v>2839.75</v>
      </c>
      <c r="O32" s="87">
        <v>1181.81</v>
      </c>
    </row>
    <row r="33" spans="1:15" ht="9" customHeight="1">
      <c r="A33" s="108" t="s">
        <v>60</v>
      </c>
      <c r="B33" s="106">
        <v>450</v>
      </c>
      <c r="C33" s="106">
        <v>1741.9</v>
      </c>
      <c r="D33" s="106">
        <v>54197.58</v>
      </c>
      <c r="E33" s="106">
        <v>785.87</v>
      </c>
      <c r="F33" s="107">
        <v>57175.350000000006</v>
      </c>
      <c r="G33" s="106">
        <v>2470.41</v>
      </c>
      <c r="H33" s="106">
        <v>25195</v>
      </c>
      <c r="I33" s="106">
        <v>2948.7200000000003</v>
      </c>
      <c r="J33" s="93" t="s">
        <v>47</v>
      </c>
      <c r="K33" s="106">
        <v>30614.13</v>
      </c>
      <c r="L33" s="106">
        <v>17393.38</v>
      </c>
      <c r="M33" s="106">
        <v>6512.34</v>
      </c>
      <c r="N33" s="97">
        <v>2655.5</v>
      </c>
      <c r="O33" s="75">
        <v>1181.81</v>
      </c>
    </row>
    <row r="34" spans="1:15" ht="9" customHeight="1">
      <c r="A34" s="108" t="s">
        <v>61</v>
      </c>
      <c r="B34" s="106">
        <v>450</v>
      </c>
      <c r="C34" s="106">
        <v>1741.4</v>
      </c>
      <c r="D34" s="106">
        <v>58435.3</v>
      </c>
      <c r="E34" s="106">
        <v>954.6</v>
      </c>
      <c r="F34" s="107">
        <v>61581.3</v>
      </c>
      <c r="G34" s="106">
        <v>2470.41</v>
      </c>
      <c r="H34" s="106">
        <v>27935</v>
      </c>
      <c r="I34" s="106">
        <v>2998.29</v>
      </c>
      <c r="J34" s="93" t="s">
        <v>47</v>
      </c>
      <c r="K34" s="106">
        <v>33403.699999999997</v>
      </c>
      <c r="L34" s="106">
        <v>18521.8</v>
      </c>
      <c r="M34" s="106">
        <v>5975.23</v>
      </c>
      <c r="N34" s="97">
        <v>3680.58</v>
      </c>
      <c r="O34" s="75">
        <v>1181.81</v>
      </c>
    </row>
    <row r="35" spans="1:15" ht="9" customHeight="1">
      <c r="A35" s="108" t="s">
        <v>62</v>
      </c>
      <c r="B35" s="106">
        <v>450</v>
      </c>
      <c r="C35" s="106">
        <v>1843.3</v>
      </c>
      <c r="D35" s="106">
        <v>60431.3</v>
      </c>
      <c r="E35" s="106">
        <v>957.8</v>
      </c>
      <c r="F35" s="107">
        <v>63682.400000000009</v>
      </c>
      <c r="G35" s="106">
        <v>2292</v>
      </c>
      <c r="H35" s="106">
        <v>37335</v>
      </c>
      <c r="I35" s="106">
        <v>3873.3</v>
      </c>
      <c r="J35" s="93" t="s">
        <v>47</v>
      </c>
      <c r="K35" s="106">
        <v>43500.3</v>
      </c>
      <c r="L35" s="106">
        <v>16283.7</v>
      </c>
      <c r="M35" s="106">
        <v>1857.06</v>
      </c>
      <c r="N35" s="97">
        <v>2041.34</v>
      </c>
      <c r="O35" s="75">
        <v>1181.81</v>
      </c>
    </row>
    <row r="36" spans="1:15" s="87" customFormat="1" ht="9" customHeight="1">
      <c r="A36" s="109" t="s">
        <v>103</v>
      </c>
      <c r="B36" s="101">
        <v>450</v>
      </c>
      <c r="C36" s="101">
        <v>1845.7</v>
      </c>
      <c r="D36" s="101">
        <v>67225.399999999994</v>
      </c>
      <c r="E36" s="101">
        <v>972.3</v>
      </c>
      <c r="F36" s="102">
        <v>70493.399999999994</v>
      </c>
      <c r="G36" s="101">
        <v>2592</v>
      </c>
      <c r="H36" s="101">
        <v>35340</v>
      </c>
      <c r="I36" s="101">
        <v>3791.4</v>
      </c>
      <c r="J36" s="93">
        <v>0</v>
      </c>
      <c r="K36" s="101">
        <v>41723.4</v>
      </c>
      <c r="L36" s="101">
        <v>17373.7</v>
      </c>
      <c r="M36" s="101">
        <v>9313.58</v>
      </c>
      <c r="N36" s="103">
        <v>2082.7200000000003</v>
      </c>
      <c r="O36" s="87">
        <v>1181.81</v>
      </c>
    </row>
    <row r="37" spans="1:15" ht="9" customHeight="1">
      <c r="A37" s="108" t="s">
        <v>104</v>
      </c>
      <c r="B37" s="106">
        <v>450</v>
      </c>
      <c r="C37" s="106">
        <v>1751.8</v>
      </c>
      <c r="D37" s="106">
        <v>69777.3</v>
      </c>
      <c r="E37" s="106">
        <v>922.3</v>
      </c>
      <c r="F37" s="107">
        <v>72901.400000000009</v>
      </c>
      <c r="G37" s="106">
        <v>2592</v>
      </c>
      <c r="H37" s="106">
        <v>34820</v>
      </c>
      <c r="I37" s="106">
        <v>3798.8</v>
      </c>
      <c r="J37" s="93">
        <v>0</v>
      </c>
      <c r="K37" s="106">
        <v>41210.800000000003</v>
      </c>
      <c r="L37" s="106">
        <v>11502.6</v>
      </c>
      <c r="M37" s="106">
        <v>17443.07</v>
      </c>
      <c r="N37" s="97">
        <v>2744.9300000000003</v>
      </c>
      <c r="O37" s="75">
        <v>1181.81</v>
      </c>
    </row>
    <row r="38" spans="1:15" ht="9" customHeight="1">
      <c r="A38" s="108" t="s">
        <v>65</v>
      </c>
      <c r="B38" s="106">
        <v>450</v>
      </c>
      <c r="C38" s="106">
        <v>1635.4</v>
      </c>
      <c r="D38" s="106">
        <v>71789.8</v>
      </c>
      <c r="E38" s="106">
        <v>926.37</v>
      </c>
      <c r="F38" s="107">
        <v>74801.569999999992</v>
      </c>
      <c r="G38" s="106">
        <v>2592</v>
      </c>
      <c r="H38" s="106">
        <v>32310</v>
      </c>
      <c r="I38" s="106">
        <v>3534.8</v>
      </c>
      <c r="J38" s="93">
        <v>0</v>
      </c>
      <c r="K38" s="106">
        <v>38436.800000000003</v>
      </c>
      <c r="L38" s="106">
        <v>11649.199999999999</v>
      </c>
      <c r="M38" s="106">
        <v>20960</v>
      </c>
      <c r="N38" s="97">
        <v>3755.57</v>
      </c>
      <c r="O38" s="75">
        <v>1181.81</v>
      </c>
    </row>
    <row r="39" spans="1:15" ht="9" customHeight="1">
      <c r="A39" s="108" t="s">
        <v>66</v>
      </c>
      <c r="B39" s="106">
        <v>450</v>
      </c>
      <c r="C39" s="106">
        <v>1267</v>
      </c>
      <c r="D39" s="106">
        <v>74575</v>
      </c>
      <c r="E39" s="106">
        <v>926.37</v>
      </c>
      <c r="F39" s="107">
        <v>77218.37</v>
      </c>
      <c r="G39" s="106">
        <v>3045.38</v>
      </c>
      <c r="H39" s="106">
        <v>33860</v>
      </c>
      <c r="I39" s="106">
        <v>3538.54</v>
      </c>
      <c r="J39" s="93">
        <v>0</v>
      </c>
      <c r="K39" s="106">
        <v>40443.919999999998</v>
      </c>
      <c r="L39" s="106">
        <v>12267</v>
      </c>
      <c r="M39" s="106">
        <v>16829</v>
      </c>
      <c r="N39" s="97">
        <v>7678.45</v>
      </c>
      <c r="O39" s="75">
        <v>1181.81</v>
      </c>
    </row>
    <row r="40" spans="1:15" s="87" customFormat="1" ht="9" customHeight="1">
      <c r="A40" s="109" t="s">
        <v>67</v>
      </c>
      <c r="B40" s="101">
        <v>607.5</v>
      </c>
      <c r="C40" s="101">
        <v>1514.1</v>
      </c>
      <c r="D40" s="101">
        <v>80156.399999999994</v>
      </c>
      <c r="E40" s="101">
        <v>735.4</v>
      </c>
      <c r="F40" s="102">
        <v>83013.399999999994</v>
      </c>
      <c r="G40" s="101">
        <v>1809.3</v>
      </c>
      <c r="H40" s="101">
        <v>57243</v>
      </c>
      <c r="I40" s="101">
        <v>3823.5</v>
      </c>
      <c r="J40" s="93">
        <v>0</v>
      </c>
      <c r="K40" s="101">
        <v>62875.8</v>
      </c>
      <c r="L40" s="101">
        <v>13608.3</v>
      </c>
      <c r="M40" s="101">
        <v>600</v>
      </c>
      <c r="N40" s="103">
        <v>5929.3</v>
      </c>
      <c r="O40" s="87">
        <v>1181.81</v>
      </c>
    </row>
    <row r="41" spans="1:15" ht="9" customHeight="1">
      <c r="A41" s="108" t="s">
        <v>68</v>
      </c>
      <c r="B41" s="106">
        <v>607.5</v>
      </c>
      <c r="C41" s="106">
        <v>1866.2</v>
      </c>
      <c r="D41" s="106">
        <v>82857.3</v>
      </c>
      <c r="E41" s="106">
        <v>750</v>
      </c>
      <c r="F41" s="107">
        <v>86081</v>
      </c>
      <c r="G41" s="106">
        <v>1809.3</v>
      </c>
      <c r="H41" s="106">
        <v>55993</v>
      </c>
      <c r="I41" s="106">
        <v>3850.9</v>
      </c>
      <c r="J41" s="93">
        <v>0</v>
      </c>
      <c r="K41" s="106">
        <v>61653.200000000004</v>
      </c>
      <c r="L41" s="106">
        <v>14625.2</v>
      </c>
      <c r="M41" s="106">
        <v>3500</v>
      </c>
      <c r="N41" s="97">
        <v>6302.6</v>
      </c>
      <c r="O41" s="75">
        <v>1181.81</v>
      </c>
    </row>
    <row r="42" spans="1:15" ht="9" customHeight="1">
      <c r="A42" s="108" t="s">
        <v>69</v>
      </c>
      <c r="B42" s="106">
        <v>607.5</v>
      </c>
      <c r="C42" s="106">
        <v>2258.9</v>
      </c>
      <c r="D42" s="106">
        <v>85261.2</v>
      </c>
      <c r="E42" s="106">
        <v>537.6</v>
      </c>
      <c r="F42" s="107">
        <v>88665.2</v>
      </c>
      <c r="G42" s="106">
        <v>1809.3</v>
      </c>
      <c r="H42" s="106">
        <v>58283</v>
      </c>
      <c r="I42" s="106">
        <v>3927.5</v>
      </c>
      <c r="J42" s="93">
        <v>0</v>
      </c>
      <c r="K42" s="106">
        <v>64019.8</v>
      </c>
      <c r="L42" s="106">
        <v>13798</v>
      </c>
      <c r="M42" s="106">
        <v>4600</v>
      </c>
      <c r="N42" s="97">
        <v>6247.4</v>
      </c>
      <c r="O42" s="75">
        <v>1181.81</v>
      </c>
    </row>
    <row r="43" spans="1:15" ht="9" customHeight="1">
      <c r="A43" s="108" t="s">
        <v>70</v>
      </c>
      <c r="B43" s="106">
        <v>607.5</v>
      </c>
      <c r="C43" s="106">
        <v>2001.42576157337</v>
      </c>
      <c r="D43" s="106">
        <v>89355.655905681924</v>
      </c>
      <c r="E43" s="106">
        <v>756.1</v>
      </c>
      <c r="F43" s="107">
        <v>92720.681667255296</v>
      </c>
      <c r="G43" s="106">
        <v>1809.3</v>
      </c>
      <c r="H43" s="106">
        <v>58330</v>
      </c>
      <c r="I43" s="106">
        <v>4024.81</v>
      </c>
      <c r="J43" s="93">
        <v>0</v>
      </c>
      <c r="K43" s="106">
        <v>64164.11</v>
      </c>
      <c r="L43" s="106">
        <v>17680.8</v>
      </c>
      <c r="M43" s="106">
        <v>5500</v>
      </c>
      <c r="N43" s="97">
        <v>5375.7460000000001</v>
      </c>
      <c r="O43" s="75">
        <v>1181.81</v>
      </c>
    </row>
    <row r="44" spans="1:15" s="87" customFormat="1" ht="9" customHeight="1">
      <c r="A44" s="109" t="s">
        <v>71</v>
      </c>
      <c r="B44" s="101">
        <v>740.3</v>
      </c>
      <c r="C44" s="101">
        <v>2322.8766435729599</v>
      </c>
      <c r="D44" s="101">
        <v>93545.1</v>
      </c>
      <c r="E44" s="101">
        <v>2493.3232695699999</v>
      </c>
      <c r="F44" s="102">
        <v>99101.599913142971</v>
      </c>
      <c r="G44" s="101">
        <v>1809.3</v>
      </c>
      <c r="H44" s="101">
        <v>62720</v>
      </c>
      <c r="I44" s="101">
        <v>4035.37</v>
      </c>
      <c r="J44" s="93">
        <v>0</v>
      </c>
      <c r="K44" s="101">
        <v>68564.67</v>
      </c>
      <c r="L44" s="101">
        <v>23108.9</v>
      </c>
      <c r="M44" s="101">
        <v>2283.5</v>
      </c>
      <c r="N44" s="103">
        <v>5144.5259131429602</v>
      </c>
      <c r="O44" s="87">
        <v>1181.81</v>
      </c>
    </row>
    <row r="45" spans="1:15" ht="9" customHeight="1">
      <c r="A45" s="108" t="s">
        <v>72</v>
      </c>
      <c r="B45" s="106">
        <v>740.3</v>
      </c>
      <c r="C45" s="106">
        <v>2794.6907938833401</v>
      </c>
      <c r="D45" s="106">
        <v>97230.213695006707</v>
      </c>
      <c r="E45" s="106">
        <v>937.5</v>
      </c>
      <c r="F45" s="107">
        <v>101702.70448889004</v>
      </c>
      <c r="G45" s="106">
        <v>1809.325</v>
      </c>
      <c r="H45" s="106">
        <v>58880</v>
      </c>
      <c r="I45" s="106">
        <v>4053.1262670000001</v>
      </c>
      <c r="J45" s="93">
        <v>0</v>
      </c>
      <c r="K45" s="106">
        <v>64742.451266999997</v>
      </c>
      <c r="L45" s="106">
        <v>24181.463696319999</v>
      </c>
      <c r="M45" s="106">
        <v>5833.8128217003996</v>
      </c>
      <c r="N45" s="97">
        <v>6944.98</v>
      </c>
      <c r="O45" s="75">
        <v>1181.81</v>
      </c>
    </row>
    <row r="46" spans="1:15" ht="9" customHeight="1">
      <c r="A46" s="108" t="s">
        <v>73</v>
      </c>
      <c r="B46" s="106">
        <v>740.3</v>
      </c>
      <c r="C46" s="106">
        <v>3112.7</v>
      </c>
      <c r="D46" s="106">
        <v>101467.659181656</v>
      </c>
      <c r="E46" s="106">
        <v>355</v>
      </c>
      <c r="F46" s="107">
        <v>105675.659181656</v>
      </c>
      <c r="G46" s="106">
        <v>1809.325</v>
      </c>
      <c r="H46" s="106">
        <v>62220</v>
      </c>
      <c r="I46" s="106">
        <v>4053.91266722</v>
      </c>
      <c r="J46" s="93">
        <v>0</v>
      </c>
      <c r="K46" s="106">
        <v>68083.237667220004</v>
      </c>
      <c r="L46" s="106">
        <v>25672.743046386699</v>
      </c>
      <c r="M46" s="106">
        <v>7253.72125499105</v>
      </c>
      <c r="N46" s="97">
        <v>4665.9649043549998</v>
      </c>
      <c r="O46" s="75">
        <v>1181.81</v>
      </c>
    </row>
    <row r="47" spans="1:15" ht="9" customHeight="1">
      <c r="A47" s="108" t="s">
        <v>74</v>
      </c>
      <c r="B47" s="106">
        <v>740.3</v>
      </c>
      <c r="C47" s="106">
        <v>3612.72</v>
      </c>
      <c r="D47" s="106">
        <v>104067.78467599</v>
      </c>
      <c r="E47" s="106">
        <v>1417.4</v>
      </c>
      <c r="F47" s="107">
        <v>109838.20467599</v>
      </c>
      <c r="G47" s="106">
        <v>1809.3</v>
      </c>
      <c r="H47" s="106">
        <v>70428</v>
      </c>
      <c r="I47" s="106">
        <v>4053.9</v>
      </c>
      <c r="J47" s="93">
        <v>0</v>
      </c>
      <c r="K47" s="106">
        <v>76291.199999999997</v>
      </c>
      <c r="L47" s="106">
        <v>27292.1</v>
      </c>
      <c r="M47" s="106">
        <v>3182.3</v>
      </c>
      <c r="N47" s="97">
        <v>3072.6</v>
      </c>
      <c r="O47" s="75">
        <v>1181.81</v>
      </c>
    </row>
    <row r="48" spans="1:15" s="87" customFormat="1" ht="9" customHeight="1">
      <c r="A48" s="109" t="s">
        <v>105</v>
      </c>
      <c r="B48" s="101">
        <v>903.1</v>
      </c>
      <c r="C48" s="101">
        <v>3738.5</v>
      </c>
      <c r="D48" s="101">
        <v>107605.2</v>
      </c>
      <c r="E48" s="101">
        <v>1814.5</v>
      </c>
      <c r="F48" s="102">
        <v>114061.3</v>
      </c>
      <c r="G48" s="101">
        <v>1809.3</v>
      </c>
      <c r="H48" s="101">
        <v>71205.5</v>
      </c>
      <c r="I48" s="101">
        <v>4802.3</v>
      </c>
      <c r="J48" s="93">
        <v>0</v>
      </c>
      <c r="K48" s="101">
        <v>77817.100000000006</v>
      </c>
      <c r="L48" s="101">
        <v>26040</v>
      </c>
      <c r="M48" s="101">
        <v>1825</v>
      </c>
      <c r="N48" s="103">
        <v>8379.2000000000007</v>
      </c>
      <c r="O48" s="87">
        <v>1181.81</v>
      </c>
    </row>
    <row r="49" spans="1:16" ht="9" customHeight="1">
      <c r="A49" s="108" t="s">
        <v>76</v>
      </c>
      <c r="B49" s="106">
        <v>1102.3</v>
      </c>
      <c r="C49" s="106">
        <v>4188.5</v>
      </c>
      <c r="D49" s="106">
        <v>111558.6</v>
      </c>
      <c r="E49" s="106">
        <v>1947</v>
      </c>
      <c r="F49" s="107">
        <v>118796.40000000001</v>
      </c>
      <c r="G49" s="106">
        <v>1809.3</v>
      </c>
      <c r="H49" s="106">
        <v>70920</v>
      </c>
      <c r="I49" s="106">
        <v>4751.1000000000004</v>
      </c>
      <c r="J49" s="93">
        <v>0</v>
      </c>
      <c r="K49" s="106">
        <v>77480.400000000009</v>
      </c>
      <c r="L49" s="106">
        <v>33410.300000000003</v>
      </c>
      <c r="M49" s="106">
        <v>1357.5</v>
      </c>
      <c r="N49" s="97">
        <v>6548.2</v>
      </c>
      <c r="O49" s="75">
        <v>1181.81</v>
      </c>
    </row>
    <row r="50" spans="1:16" ht="9" customHeight="1">
      <c r="A50" s="108" t="s">
        <v>77</v>
      </c>
      <c r="B50" s="106">
        <v>1102.3</v>
      </c>
      <c r="C50" s="106">
        <v>4012.7</v>
      </c>
      <c r="D50" s="106">
        <v>113112.7</v>
      </c>
      <c r="E50" s="106">
        <v>1947</v>
      </c>
      <c r="F50" s="107">
        <v>120174.7</v>
      </c>
      <c r="G50" s="106">
        <v>712.9</v>
      </c>
      <c r="H50" s="106">
        <v>69920</v>
      </c>
      <c r="I50" s="106">
        <v>5412.2</v>
      </c>
      <c r="J50" s="93">
        <v>0</v>
      </c>
      <c r="K50" s="106">
        <v>76045.099999999991</v>
      </c>
      <c r="L50" s="106">
        <v>37794</v>
      </c>
      <c r="M50" s="106">
        <v>1357.5</v>
      </c>
      <c r="N50" s="97">
        <v>4978.0999999999995</v>
      </c>
      <c r="O50" s="75">
        <v>1181.81</v>
      </c>
    </row>
    <row r="51" spans="1:16" ht="9" customHeight="1">
      <c r="A51" s="108" t="s">
        <v>78</v>
      </c>
      <c r="B51" s="106">
        <v>1102.3</v>
      </c>
      <c r="C51" s="106">
        <v>5088.5</v>
      </c>
      <c r="D51" s="106">
        <v>117765.20000000001</v>
      </c>
      <c r="E51" s="106">
        <v>2445.6999999999998</v>
      </c>
      <c r="F51" s="107">
        <v>126401.70000000001</v>
      </c>
      <c r="G51" s="106">
        <v>400</v>
      </c>
      <c r="H51" s="106">
        <v>76656.899999999994</v>
      </c>
      <c r="I51" s="106">
        <v>6088.9</v>
      </c>
      <c r="J51" s="93">
        <v>0</v>
      </c>
      <c r="K51" s="106">
        <v>83145.799999999988</v>
      </c>
      <c r="L51" s="106">
        <v>37158.400000000001</v>
      </c>
      <c r="M51" s="106">
        <v>1891.5</v>
      </c>
      <c r="N51" s="97">
        <v>4206</v>
      </c>
      <c r="O51" s="75">
        <v>1181.81</v>
      </c>
    </row>
    <row r="52" spans="1:16" s="87" customFormat="1" ht="9" customHeight="1">
      <c r="A52" s="109" t="s">
        <v>79</v>
      </c>
      <c r="B52" s="101">
        <v>1102.3</v>
      </c>
      <c r="C52" s="101">
        <v>4228.8</v>
      </c>
      <c r="D52" s="101">
        <v>126003</v>
      </c>
      <c r="E52" s="101">
        <v>17574.2</v>
      </c>
      <c r="F52" s="102">
        <v>148908.30000000002</v>
      </c>
      <c r="G52" s="101">
        <v>600</v>
      </c>
      <c r="H52" s="101">
        <v>76697.8</v>
      </c>
      <c r="I52" s="101">
        <v>6931.8</v>
      </c>
      <c r="J52" s="93">
        <v>0</v>
      </c>
      <c r="K52" s="101">
        <v>84229.6</v>
      </c>
      <c r="L52" s="101">
        <v>40650.300000000003</v>
      </c>
      <c r="M52" s="101">
        <v>6032.9</v>
      </c>
      <c r="N52" s="103">
        <v>17995.5</v>
      </c>
      <c r="O52" s="87">
        <v>1181.81</v>
      </c>
    </row>
    <row r="53" spans="1:16" ht="9" customHeight="1">
      <c r="A53" s="108" t="s">
        <v>80</v>
      </c>
      <c r="B53" s="106">
        <v>1102.3</v>
      </c>
      <c r="C53" s="106">
        <v>4678.8</v>
      </c>
      <c r="D53" s="106">
        <v>123470.5</v>
      </c>
      <c r="E53" s="106">
        <v>17685.5</v>
      </c>
      <c r="F53" s="107">
        <v>146937.1</v>
      </c>
      <c r="G53" s="106">
        <v>600</v>
      </c>
      <c r="H53" s="106">
        <v>78692.800000000003</v>
      </c>
      <c r="I53" s="106">
        <v>9081</v>
      </c>
      <c r="J53" s="93">
        <v>0</v>
      </c>
      <c r="K53" s="106">
        <v>88373.8</v>
      </c>
      <c r="L53" s="106">
        <v>42617.1</v>
      </c>
      <c r="M53" s="106">
        <v>929.8</v>
      </c>
      <c r="N53" s="97">
        <v>15016.4</v>
      </c>
      <c r="O53" s="75">
        <v>1181.81</v>
      </c>
    </row>
    <row r="54" spans="1:16" ht="9" customHeight="1">
      <c r="A54" s="110" t="s">
        <v>81</v>
      </c>
      <c r="B54" s="106">
        <v>1344.8</v>
      </c>
      <c r="C54" s="106">
        <v>7068.2</v>
      </c>
      <c r="D54" s="106">
        <v>133143.6</v>
      </c>
      <c r="E54" s="106">
        <v>15397.5</v>
      </c>
      <c r="F54" s="107">
        <v>156954.1</v>
      </c>
      <c r="G54" s="106">
        <v>600</v>
      </c>
      <c r="H54" s="106">
        <v>83262.2</v>
      </c>
      <c r="I54" s="106">
        <v>9739</v>
      </c>
      <c r="J54" s="93">
        <v>0</v>
      </c>
      <c r="K54" s="106">
        <v>93601.2</v>
      </c>
      <c r="L54" s="106">
        <v>44952.6</v>
      </c>
      <c r="M54" s="106">
        <v>829.5</v>
      </c>
      <c r="N54" s="97">
        <v>17570.8</v>
      </c>
      <c r="O54" s="75">
        <v>1181.81</v>
      </c>
    </row>
    <row r="55" spans="1:16" ht="9" customHeight="1">
      <c r="A55" s="110" t="s">
        <v>82</v>
      </c>
      <c r="B55" s="106">
        <v>1344.8</v>
      </c>
      <c r="C55" s="106">
        <v>7246.8</v>
      </c>
      <c r="D55" s="106">
        <v>128118.1</v>
      </c>
      <c r="E55" s="106">
        <v>23871.7</v>
      </c>
      <c r="F55" s="107">
        <v>160581.40000000002</v>
      </c>
      <c r="G55" s="106">
        <v>600</v>
      </c>
      <c r="H55" s="106">
        <v>85140</v>
      </c>
      <c r="I55" s="106">
        <v>10199.4</v>
      </c>
      <c r="J55" s="93">
        <v>0</v>
      </c>
      <c r="K55" s="106">
        <v>95939.4</v>
      </c>
      <c r="L55" s="106">
        <v>46311.4</v>
      </c>
      <c r="M55" s="106">
        <v>871.5</v>
      </c>
      <c r="N55" s="97">
        <v>17459.099999999999</v>
      </c>
      <c r="O55" s="75">
        <v>1181.81</v>
      </c>
    </row>
    <row r="56" spans="1:16" s="116" customFormat="1" ht="9" customHeight="1">
      <c r="A56" s="111" t="s">
        <v>131</v>
      </c>
      <c r="B56" s="112">
        <v>1640.7</v>
      </c>
      <c r="C56" s="112">
        <v>7685.3</v>
      </c>
      <c r="D56" s="112">
        <v>141299.40000000002</v>
      </c>
      <c r="E56" s="112">
        <v>10450.4</v>
      </c>
      <c r="F56" s="113">
        <v>161075.80000000002</v>
      </c>
      <c r="G56" s="112">
        <v>600</v>
      </c>
      <c r="H56" s="112">
        <v>89695.7</v>
      </c>
      <c r="I56" s="112">
        <v>10784.9</v>
      </c>
      <c r="J56" s="114">
        <v>0</v>
      </c>
      <c r="K56" s="112">
        <v>101080.59999999999</v>
      </c>
      <c r="L56" s="112">
        <v>45565</v>
      </c>
      <c r="M56" s="112">
        <v>1153.5</v>
      </c>
      <c r="N56" s="115">
        <v>13276.699999999999</v>
      </c>
      <c r="O56" s="116">
        <v>1181.81</v>
      </c>
    </row>
    <row r="57" spans="1:16" s="121" customFormat="1" ht="9" customHeight="1">
      <c r="A57" s="117" t="s">
        <v>126</v>
      </c>
      <c r="B57" s="118">
        <v>1640.6987000000001</v>
      </c>
      <c r="C57" s="118">
        <v>8284.85</v>
      </c>
      <c r="D57" s="118">
        <v>144456.95500000005</v>
      </c>
      <c r="E57" s="118">
        <v>9896.6009999999987</v>
      </c>
      <c r="F57" s="119">
        <v>164279.10470000005</v>
      </c>
      <c r="G57" s="118">
        <v>1050</v>
      </c>
      <c r="H57" s="118">
        <v>91125.589000000007</v>
      </c>
      <c r="I57" s="118">
        <v>11732.096</v>
      </c>
      <c r="J57" s="114">
        <v>0</v>
      </c>
      <c r="K57" s="118">
        <v>103907.68500000001</v>
      </c>
      <c r="L57" s="118">
        <v>46646.824999999997</v>
      </c>
      <c r="M57" s="118">
        <v>975.45</v>
      </c>
      <c r="N57" s="120">
        <v>12749.145</v>
      </c>
      <c r="O57" s="121">
        <v>1181.81</v>
      </c>
    </row>
    <row r="58" spans="1:16" s="121" customFormat="1" ht="9" customHeight="1">
      <c r="A58" s="122" t="s">
        <v>127</v>
      </c>
      <c r="B58" s="118">
        <v>1640.6990000000001</v>
      </c>
      <c r="C58" s="118">
        <v>13075.7</v>
      </c>
      <c r="D58" s="118">
        <v>151813</v>
      </c>
      <c r="E58" s="118">
        <v>10175.921</v>
      </c>
      <c r="F58" s="119">
        <v>176705.32</v>
      </c>
      <c r="G58" s="118">
        <v>1050</v>
      </c>
      <c r="H58" s="118">
        <v>101669</v>
      </c>
      <c r="I58" s="118">
        <v>12835.458000000001</v>
      </c>
      <c r="J58" s="114">
        <v>0</v>
      </c>
      <c r="K58" s="118">
        <v>115554.458</v>
      </c>
      <c r="L58" s="118">
        <v>47657.699000000001</v>
      </c>
      <c r="M58" s="118">
        <v>723.4</v>
      </c>
      <c r="N58" s="120">
        <v>12768.751</v>
      </c>
      <c r="O58" s="123">
        <v>1181.81</v>
      </c>
      <c r="P58" s="123"/>
    </row>
    <row r="59" spans="1:16" s="121" customFormat="1" ht="9" customHeight="1">
      <c r="A59" s="122" t="s">
        <v>138</v>
      </c>
      <c r="B59" s="118">
        <v>4264.7870000000003</v>
      </c>
      <c r="C59" s="118">
        <v>13264.034313309499</v>
      </c>
      <c r="D59" s="118">
        <v>156741.83577187499</v>
      </c>
      <c r="E59" s="118">
        <v>7517.9430000000002</v>
      </c>
      <c r="F59" s="119">
        <v>181788.60008518447</v>
      </c>
      <c r="G59" s="118">
        <v>1050</v>
      </c>
      <c r="H59" s="118">
        <v>98146.172999999995</v>
      </c>
      <c r="I59" s="118">
        <v>13607.307000000001</v>
      </c>
      <c r="J59" s="114">
        <v>0</v>
      </c>
      <c r="K59" s="118">
        <v>112803.48</v>
      </c>
      <c r="L59" s="118">
        <v>49617.506999999998</v>
      </c>
      <c r="M59" s="118">
        <v>3215.8</v>
      </c>
      <c r="N59" s="120">
        <v>16151.9037861425</v>
      </c>
    </row>
    <row r="60" spans="1:16" s="116" customFormat="1" ht="9" customHeight="1">
      <c r="A60" s="161" t="s">
        <v>139</v>
      </c>
      <c r="B60" s="112">
        <v>3270</v>
      </c>
      <c r="C60" s="112">
        <v>16084.86</v>
      </c>
      <c r="D60" s="112">
        <v>160657.073</v>
      </c>
      <c r="E60" s="112">
        <v>16388.41</v>
      </c>
      <c r="F60" s="113">
        <v>196400.34300000002</v>
      </c>
      <c r="G60" s="112">
        <v>1050</v>
      </c>
      <c r="H60" s="112">
        <v>103320.36</v>
      </c>
      <c r="I60" s="112">
        <v>18286.55</v>
      </c>
      <c r="J60" s="162">
        <v>0</v>
      </c>
      <c r="K60" s="112">
        <v>122656.91</v>
      </c>
      <c r="L60" s="112">
        <v>53118.630000000005</v>
      </c>
      <c r="M60" s="112">
        <v>2240.4</v>
      </c>
      <c r="N60" s="115">
        <v>18384.400000000001</v>
      </c>
    </row>
    <row r="61" spans="1:16">
      <c r="A61" s="122" t="s">
        <v>130</v>
      </c>
      <c r="B61" s="118">
        <v>3270</v>
      </c>
      <c r="C61" s="118">
        <v>20306.86</v>
      </c>
      <c r="D61" s="118">
        <v>161950.99</v>
      </c>
      <c r="E61" s="118">
        <v>8026.34</v>
      </c>
      <c r="F61" s="119">
        <v>193554.18999999997</v>
      </c>
      <c r="G61" s="118">
        <v>1050</v>
      </c>
      <c r="H61" s="118">
        <v>103223.61</v>
      </c>
      <c r="I61" s="118">
        <v>19000.740000000002</v>
      </c>
      <c r="J61" s="114">
        <v>0</v>
      </c>
      <c r="K61" s="118">
        <v>123274.35</v>
      </c>
      <c r="L61" s="118">
        <v>55384.850000000006</v>
      </c>
      <c r="M61" s="118">
        <v>2882.5</v>
      </c>
      <c r="N61" s="120">
        <v>12012.49</v>
      </c>
    </row>
    <row r="62" spans="1:16">
      <c r="A62" s="122" t="s">
        <v>124</v>
      </c>
      <c r="B62" s="118">
        <v>3270</v>
      </c>
      <c r="C62" s="118">
        <v>20891.224999999999</v>
      </c>
      <c r="D62" s="118">
        <v>165280.26</v>
      </c>
      <c r="E62" s="118">
        <v>6117.098</v>
      </c>
      <c r="F62" s="119">
        <v>195558.58300000001</v>
      </c>
      <c r="G62" s="118">
        <v>1050</v>
      </c>
      <c r="H62" s="118">
        <v>105914.292</v>
      </c>
      <c r="I62" s="118">
        <v>19280.562000000002</v>
      </c>
      <c r="J62" s="114">
        <v>0</v>
      </c>
      <c r="K62" s="118">
        <v>126244.85400000001</v>
      </c>
      <c r="L62" s="118">
        <v>57665.934000000001</v>
      </c>
      <c r="M62" s="118">
        <v>728.5</v>
      </c>
      <c r="N62" s="120">
        <v>10919.386</v>
      </c>
    </row>
    <row r="63" spans="1:16">
      <c r="A63" s="122" t="s">
        <v>125</v>
      </c>
      <c r="B63" s="118">
        <v>3270</v>
      </c>
      <c r="C63" s="118">
        <v>21568.544000000002</v>
      </c>
      <c r="D63" s="118">
        <v>169014.486</v>
      </c>
      <c r="E63" s="118">
        <v>6269.933</v>
      </c>
      <c r="F63" s="119">
        <v>200122.96299999999</v>
      </c>
      <c r="G63" s="118">
        <v>1050</v>
      </c>
      <c r="H63" s="118">
        <v>107121.33</v>
      </c>
      <c r="I63" s="118">
        <v>19206.146000000001</v>
      </c>
      <c r="J63" s="114">
        <v>0</v>
      </c>
      <c r="K63" s="118">
        <v>127377.476</v>
      </c>
      <c r="L63" s="118">
        <v>60771.4</v>
      </c>
      <c r="M63" s="118">
        <v>2104.1999999999998</v>
      </c>
      <c r="N63" s="120">
        <v>9869.8850000000002</v>
      </c>
    </row>
    <row r="64" spans="1:16">
      <c r="A64" s="122"/>
      <c r="B64" s="118"/>
      <c r="C64" s="118"/>
      <c r="D64" s="118"/>
      <c r="E64" s="118"/>
      <c r="F64" s="119"/>
      <c r="G64" s="118"/>
      <c r="H64" s="118"/>
      <c r="I64" s="118"/>
      <c r="J64" s="114"/>
      <c r="K64" s="118"/>
      <c r="L64" s="118"/>
      <c r="M64" s="118"/>
      <c r="N64" s="120"/>
    </row>
    <row r="65" spans="1:15">
      <c r="A65" s="161" t="s">
        <v>140</v>
      </c>
      <c r="B65" s="112">
        <v>3270</v>
      </c>
      <c r="C65" s="112">
        <v>31141.81</v>
      </c>
      <c r="D65" s="112">
        <v>187446.04000000004</v>
      </c>
      <c r="E65" s="112">
        <v>25657.599999999999</v>
      </c>
      <c r="F65" s="113">
        <v>247515.45000000004</v>
      </c>
      <c r="G65" s="112">
        <v>0</v>
      </c>
      <c r="H65" s="112">
        <v>103906.98</v>
      </c>
      <c r="I65" s="112">
        <v>26379.65</v>
      </c>
      <c r="J65" s="162">
        <v>0</v>
      </c>
      <c r="K65" s="112">
        <v>130286.63</v>
      </c>
      <c r="L65" s="112">
        <v>64636.85</v>
      </c>
      <c r="M65" s="112">
        <v>4302.41</v>
      </c>
      <c r="N65" s="115">
        <v>48289.56</v>
      </c>
    </row>
    <row r="66" spans="1:15">
      <c r="A66" s="122" t="s">
        <v>132</v>
      </c>
      <c r="B66" s="118">
        <v>4251</v>
      </c>
      <c r="C66" s="118">
        <f>(31047158.5464193+283878)/1000</f>
        <v>31331.036546419302</v>
      </c>
      <c r="D66" s="118">
        <v>180991.32533205001</v>
      </c>
      <c r="E66" s="118">
        <v>7582.9699072399999</v>
      </c>
      <c r="F66" s="119">
        <f>B66+C66+D66+E66</f>
        <v>224156.33178570931</v>
      </c>
      <c r="G66" s="118">
        <v>0</v>
      </c>
      <c r="H66" s="118">
        <v>102293.49257430001</v>
      </c>
      <c r="I66" s="118">
        <f>(2550000+28076180.321181)/1000</f>
        <v>30626.180321181</v>
      </c>
      <c r="J66" s="114">
        <v>0</v>
      </c>
      <c r="K66" s="118">
        <f>G66+H66+I66+J66</f>
        <v>132919.672895481</v>
      </c>
      <c r="L66" s="118">
        <f>(22223566.0011407+44218733)/1000</f>
        <v>66442.299001140695</v>
      </c>
      <c r="M66" s="118">
        <v>1146.6364775900004</v>
      </c>
      <c r="N66" s="120">
        <f>(3139968+20507755)/1000</f>
        <v>23647.723000000002</v>
      </c>
      <c r="O66" s="75">
        <f>F66-K66-L66-M66-N66</f>
        <v>4.1149761455017142E-4</v>
      </c>
    </row>
    <row r="67" spans="1:15">
      <c r="A67" s="122" t="s">
        <v>134</v>
      </c>
      <c r="B67" s="118">
        <v>4251</v>
      </c>
      <c r="C67" s="118">
        <v>30303.723999999998</v>
      </c>
      <c r="D67" s="118">
        <v>190861.94899999999</v>
      </c>
      <c r="E67" s="118">
        <v>5753.6459999999997</v>
      </c>
      <c r="F67" s="119">
        <v>231170.31900000002</v>
      </c>
      <c r="G67" s="118">
        <v>0</v>
      </c>
      <c r="H67" s="118">
        <v>106261.59299999999</v>
      </c>
      <c r="I67" s="118">
        <v>30811.384999999998</v>
      </c>
      <c r="J67" s="114">
        <v>0</v>
      </c>
      <c r="K67" s="118">
        <v>137072.978</v>
      </c>
      <c r="L67" s="118">
        <v>68619.623999999996</v>
      </c>
      <c r="M67" s="118">
        <v>1245.914</v>
      </c>
      <c r="N67" s="120">
        <v>24231.802</v>
      </c>
    </row>
    <row r="68" spans="1:15">
      <c r="A68" s="122" t="s">
        <v>135</v>
      </c>
      <c r="B68" s="118">
        <v>4251</v>
      </c>
      <c r="C68" s="118">
        <v>31505.929</v>
      </c>
      <c r="D68" s="118">
        <v>198257.00699999998</v>
      </c>
      <c r="E68" s="118">
        <v>8427.81</v>
      </c>
      <c r="F68" s="119">
        <v>242441.74599999998</v>
      </c>
      <c r="G68" s="118">
        <v>0</v>
      </c>
      <c r="H68" s="118">
        <v>110478.193</v>
      </c>
      <c r="I68" s="118">
        <v>31848.496999999999</v>
      </c>
      <c r="J68" s="114">
        <v>0</v>
      </c>
      <c r="K68" s="118">
        <v>142326.69</v>
      </c>
      <c r="L68" s="118">
        <v>70320.618000000002</v>
      </c>
      <c r="M68" s="118">
        <v>1184.614</v>
      </c>
      <c r="N68" s="120">
        <v>28609.824000000001</v>
      </c>
    </row>
    <row r="69" spans="1:15">
      <c r="A69" s="122"/>
      <c r="B69" s="118"/>
      <c r="C69" s="118"/>
      <c r="D69" s="118"/>
      <c r="E69" s="118"/>
      <c r="F69" s="119"/>
      <c r="G69" s="118"/>
      <c r="H69" s="118"/>
      <c r="I69" s="118"/>
      <c r="J69" s="114"/>
      <c r="K69" s="118"/>
      <c r="L69" s="118"/>
      <c r="M69" s="118"/>
      <c r="N69" s="120"/>
    </row>
    <row r="70" spans="1:15" s="87" customFormat="1">
      <c r="A70" s="161" t="s">
        <v>136</v>
      </c>
      <c r="B70" s="112">
        <v>5313.75</v>
      </c>
      <c r="C70" s="112">
        <v>22369.49</v>
      </c>
      <c r="D70" s="112">
        <v>204139.14999999997</v>
      </c>
      <c r="E70" s="112">
        <v>33738.589999999997</v>
      </c>
      <c r="F70" s="113">
        <v>265560.98</v>
      </c>
      <c r="G70" s="112">
        <v>500</v>
      </c>
      <c r="H70" s="112">
        <v>114727.72</v>
      </c>
      <c r="I70" s="112">
        <v>31975.91</v>
      </c>
      <c r="J70" s="162">
        <v>0</v>
      </c>
      <c r="K70" s="112">
        <v>147203.63</v>
      </c>
      <c r="L70" s="112">
        <v>73830.58</v>
      </c>
      <c r="M70" s="112">
        <v>3821.49</v>
      </c>
      <c r="N70" s="115">
        <v>40705.279999999999</v>
      </c>
    </row>
    <row r="71" spans="1:15">
      <c r="A71" s="122" t="s">
        <v>137</v>
      </c>
      <c r="B71" s="118">
        <v>5313.75</v>
      </c>
      <c r="C71" s="118">
        <v>23384.38</v>
      </c>
      <c r="D71" s="118">
        <v>209304.92000000004</v>
      </c>
      <c r="E71" s="118">
        <v>13072.35</v>
      </c>
      <c r="F71" s="119">
        <f>B71+C71+D71+E71</f>
        <v>251075.40000000005</v>
      </c>
      <c r="G71" s="118">
        <v>500</v>
      </c>
      <c r="H71" s="118">
        <v>118666.69</v>
      </c>
      <c r="I71" s="118">
        <v>32555.22</v>
      </c>
      <c r="J71" s="114">
        <v>0</v>
      </c>
      <c r="K71" s="118">
        <f>G71+H71+I71+J71</f>
        <v>151721.91</v>
      </c>
      <c r="L71" s="118">
        <v>74586.28</v>
      </c>
      <c r="M71" s="118">
        <v>1050.54</v>
      </c>
      <c r="N71" s="120">
        <f>2288.82+21427.85</f>
        <v>23716.67</v>
      </c>
      <c r="O71" s="75">
        <f t="shared" ref="O71:O72" si="0">F71-K71-L71-M71-N71</f>
        <v>5.0931703299283981E-11</v>
      </c>
    </row>
    <row r="72" spans="1:15">
      <c r="A72" s="122" t="s">
        <v>142</v>
      </c>
      <c r="B72" s="118">
        <v>5313.75</v>
      </c>
      <c r="C72" s="118">
        <v>24415.49</v>
      </c>
      <c r="D72" s="118">
        <v>216095.85</v>
      </c>
      <c r="E72" s="118">
        <v>7305.38</v>
      </c>
      <c r="F72" s="119">
        <f>B72+C72+D72+E72</f>
        <v>253130.47</v>
      </c>
      <c r="G72" s="118">
        <v>500</v>
      </c>
      <c r="H72" s="118">
        <v>124978.09</v>
      </c>
      <c r="I72" s="118">
        <v>33495.020000000004</v>
      </c>
      <c r="J72" s="114">
        <v>0</v>
      </c>
      <c r="K72" s="118">
        <f>G72+H72+I72+J72</f>
        <v>158973.10999999999</v>
      </c>
      <c r="L72" s="118">
        <v>76077.710000000006</v>
      </c>
      <c r="M72" s="118">
        <v>2014.77</v>
      </c>
      <c r="N72" s="120">
        <v>16064.880000000001</v>
      </c>
      <c r="O72" s="75">
        <f t="shared" si="0"/>
        <v>0</v>
      </c>
    </row>
    <row r="73" spans="1:15">
      <c r="A73" s="122" t="s">
        <v>143</v>
      </c>
      <c r="B73" s="118">
        <v>5313.75</v>
      </c>
      <c r="C73" s="118">
        <v>25501.94</v>
      </c>
      <c r="D73" s="118">
        <v>222510.87999999998</v>
      </c>
      <c r="E73" s="118">
        <v>8064.69</v>
      </c>
      <c r="F73" s="119">
        <v>261391.25999999998</v>
      </c>
      <c r="G73" s="118">
        <v>500</v>
      </c>
      <c r="H73" s="118">
        <v>126128.13</v>
      </c>
      <c r="I73" s="118">
        <v>33482.15</v>
      </c>
      <c r="J73" s="114">
        <v>0</v>
      </c>
      <c r="K73" s="118">
        <v>160110.28</v>
      </c>
      <c r="L73" s="118">
        <v>76694.78</v>
      </c>
      <c r="M73" s="118">
        <v>4474.25</v>
      </c>
      <c r="N73" s="120">
        <v>20111.95</v>
      </c>
      <c r="O73" s="75">
        <v>0</v>
      </c>
    </row>
    <row r="74" spans="1:15">
      <c r="A74" s="122"/>
      <c r="B74" s="118"/>
      <c r="C74" s="118"/>
      <c r="D74" s="118"/>
      <c r="E74" s="118"/>
      <c r="F74" s="119"/>
      <c r="G74" s="118"/>
      <c r="H74" s="118"/>
      <c r="I74" s="118"/>
      <c r="J74" s="114"/>
      <c r="K74" s="118"/>
      <c r="L74" s="118"/>
      <c r="M74" s="118"/>
      <c r="N74" s="120"/>
    </row>
    <row r="75" spans="1:15" s="87" customFormat="1">
      <c r="A75" s="161" t="s">
        <v>144</v>
      </c>
      <c r="B75" s="112">
        <v>5313.75</v>
      </c>
      <c r="C75" s="112">
        <v>18153.900000000001</v>
      </c>
      <c r="D75" s="112">
        <v>230930.22999999998</v>
      </c>
      <c r="E75" s="112">
        <v>49013.88</v>
      </c>
      <c r="F75" s="113">
        <v>303411.75999999995</v>
      </c>
      <c r="G75" s="112">
        <v>500</v>
      </c>
      <c r="H75" s="112">
        <v>130711.51</v>
      </c>
      <c r="I75" s="112">
        <v>33443.671000000002</v>
      </c>
      <c r="J75" s="162">
        <v>0</v>
      </c>
      <c r="K75" s="112">
        <v>164655.18100000001</v>
      </c>
      <c r="L75" s="112">
        <v>79066.703999999998</v>
      </c>
      <c r="M75" s="112">
        <v>11570.35</v>
      </c>
      <c r="N75" s="115">
        <v>48119.53</v>
      </c>
      <c r="O75" s="87">
        <v>-5.0000000555883162E-3</v>
      </c>
    </row>
    <row r="76" spans="1:15">
      <c r="A76" s="211"/>
      <c r="B76" s="166"/>
      <c r="C76" s="166"/>
      <c r="D76" s="166"/>
      <c r="E76" s="166"/>
      <c r="F76" s="167"/>
      <c r="G76" s="166"/>
      <c r="H76" s="166"/>
      <c r="I76" s="166"/>
      <c r="J76" s="212"/>
      <c r="K76" s="166"/>
      <c r="L76" s="166"/>
      <c r="M76" s="166"/>
      <c r="N76" s="166"/>
    </row>
    <row r="78" spans="1:15">
      <c r="A78" s="124" t="s">
        <v>106</v>
      </c>
    </row>
  </sheetData>
  <mergeCells count="7">
    <mergeCell ref="A5:A8"/>
    <mergeCell ref="B5:E5"/>
    <mergeCell ref="F5:F7"/>
    <mergeCell ref="G5:K5"/>
    <mergeCell ref="M5:M7"/>
    <mergeCell ref="H6:H7"/>
    <mergeCell ref="K6:K7"/>
  </mergeCells>
  <printOptions horizontalCentered="1"/>
  <pageMargins left="0.511811023622047" right="0.511811023622047" top="0.90551181102361999" bottom="0" header="0.511811023622047" footer="0.196850393700787"/>
  <pageSetup paperSize="9" firstPageNumber="54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C74"/>
  <sheetViews>
    <sheetView tabSelected="1" zoomScale="130" zoomScaleNormal="130" zoomScaleSheetLayoutView="100" workbookViewId="0">
      <pane xSplit="1" ySplit="9" topLeftCell="B49" activePane="bottomRight" state="frozen"/>
      <selection activeCell="I76" sqref="I76"/>
      <selection pane="topRight" activeCell="I76" sqref="I76"/>
      <selection pane="bottomLeft" activeCell="I76" sqref="I76"/>
      <selection pane="bottomRight" activeCell="E80" sqref="E80"/>
    </sheetView>
  </sheetViews>
  <sheetFormatPr defaultRowHeight="9"/>
  <cols>
    <col min="1" max="1" width="16.83203125" style="75" customWidth="1"/>
    <col min="2" max="2" width="11.1640625" style="75" customWidth="1"/>
    <col min="3" max="3" width="11.5" style="75" customWidth="1"/>
    <col min="4" max="4" width="12.33203125" style="75" customWidth="1"/>
    <col min="5" max="5" width="12.5" style="75" customWidth="1"/>
    <col min="6" max="6" width="11.83203125" style="75" customWidth="1"/>
    <col min="7" max="7" width="12" style="75" customWidth="1"/>
    <col min="8" max="8" width="11.6640625" style="75" customWidth="1"/>
    <col min="9" max="9" width="9.5" style="75" customWidth="1"/>
    <col min="10" max="10" width="11.33203125" style="75" customWidth="1"/>
    <col min="11" max="11" width="13.1640625" style="75" customWidth="1"/>
    <col min="12" max="14" width="9.6640625" style="75" customWidth="1"/>
    <col min="15" max="15" width="11.83203125" style="75" customWidth="1"/>
    <col min="16" max="16" width="11.1640625" style="75" customWidth="1"/>
    <col min="17" max="17" width="10.83203125" style="75" hidden="1" customWidth="1"/>
    <col min="18" max="18" width="13.83203125" style="75" hidden="1" customWidth="1"/>
    <col min="19" max="21" width="11.6640625" style="75" hidden="1" customWidth="1"/>
    <col min="22" max="22" width="9.6640625" style="75" hidden="1" customWidth="1"/>
    <col min="23" max="23" width="7.6640625" style="75" hidden="1" customWidth="1"/>
    <col min="24" max="24" width="10.5" style="75" hidden="1" customWidth="1"/>
    <col min="25" max="25" width="10.33203125" style="75" hidden="1" customWidth="1"/>
    <col min="26" max="27" width="9.33203125" style="75" hidden="1" customWidth="1"/>
    <col min="28" max="28" width="12" style="75" hidden="1" customWidth="1"/>
    <col min="29" max="29" width="9.33203125" style="75" hidden="1" customWidth="1"/>
    <col min="30" max="16384" width="9.33203125" style="75"/>
  </cols>
  <sheetData>
    <row r="1" spans="1:29" s="65" customFormat="1" ht="14.1" customHeight="1">
      <c r="A1" s="61" t="s">
        <v>123</v>
      </c>
      <c r="B1" s="62"/>
      <c r="C1" s="62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4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</row>
    <row r="2" spans="1:29" s="65" customFormat="1" ht="14.1" customHeight="1">
      <c r="A2" s="66"/>
      <c r="B2" s="67"/>
      <c r="C2" s="67"/>
      <c r="D2" s="67"/>
      <c r="E2" s="67"/>
      <c r="F2" s="67"/>
      <c r="G2" s="67"/>
      <c r="H2" s="67"/>
      <c r="I2" s="68"/>
      <c r="J2" s="68"/>
      <c r="K2" s="68"/>
      <c r="L2" s="68"/>
      <c r="M2" s="68"/>
      <c r="N2" s="68"/>
      <c r="O2" s="68"/>
      <c r="P2" s="69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spans="1:29" s="65" customFormat="1" ht="14.1" customHeight="1">
      <c r="A3" s="70" t="s">
        <v>0</v>
      </c>
      <c r="B3" s="71"/>
      <c r="C3" s="71"/>
      <c r="P3" s="72"/>
    </row>
    <row r="4" spans="1:29">
      <c r="A4" s="193" t="s">
        <v>1</v>
      </c>
      <c r="B4" s="196" t="s">
        <v>2</v>
      </c>
      <c r="C4" s="197"/>
      <c r="D4" s="197"/>
      <c r="E4" s="197"/>
      <c r="F4" s="197"/>
      <c r="G4" s="197"/>
      <c r="H4" s="76"/>
      <c r="I4" s="196" t="s">
        <v>4</v>
      </c>
      <c r="J4" s="197"/>
      <c r="K4" s="197"/>
      <c r="L4" s="197"/>
      <c r="M4" s="197"/>
      <c r="N4" s="197"/>
      <c r="O4" s="197"/>
      <c r="P4" s="198"/>
      <c r="Q4" s="199" t="s">
        <v>7</v>
      </c>
      <c r="R4" s="199" t="s">
        <v>8</v>
      </c>
      <c r="S4" s="196" t="s">
        <v>9</v>
      </c>
      <c r="T4" s="197"/>
      <c r="U4" s="197"/>
      <c r="V4" s="197"/>
      <c r="W4" s="197"/>
      <c r="X4" s="198"/>
      <c r="Y4" s="196" t="s">
        <v>10</v>
      </c>
      <c r="Z4" s="197"/>
      <c r="AA4" s="198"/>
      <c r="AB4" s="202" t="s">
        <v>12</v>
      </c>
      <c r="AC4" s="125"/>
    </row>
    <row r="5" spans="1:29">
      <c r="A5" s="194"/>
      <c r="B5" s="202" t="s">
        <v>14</v>
      </c>
      <c r="C5" s="205"/>
      <c r="D5" s="202" t="s">
        <v>107</v>
      </c>
      <c r="E5" s="205"/>
      <c r="F5" s="202" t="s">
        <v>20</v>
      </c>
      <c r="G5" s="207"/>
      <c r="H5" s="126" t="s">
        <v>108</v>
      </c>
      <c r="I5" s="202" t="s">
        <v>109</v>
      </c>
      <c r="J5" s="205"/>
      <c r="K5" s="202" t="s">
        <v>10</v>
      </c>
      <c r="L5" s="205"/>
      <c r="M5" s="202" t="s">
        <v>110</v>
      </c>
      <c r="N5" s="205"/>
      <c r="O5" s="202" t="s">
        <v>20</v>
      </c>
      <c r="P5" s="205"/>
      <c r="Q5" s="200"/>
      <c r="R5" s="200"/>
      <c r="S5" s="76" t="s">
        <v>111</v>
      </c>
      <c r="T5" s="205" t="s">
        <v>112</v>
      </c>
      <c r="U5" s="205" t="s">
        <v>113</v>
      </c>
      <c r="V5" s="205" t="s">
        <v>24</v>
      </c>
      <c r="W5" s="205" t="s">
        <v>114</v>
      </c>
      <c r="X5" s="205" t="s">
        <v>17</v>
      </c>
      <c r="Y5" s="77" t="s">
        <v>87</v>
      </c>
      <c r="Z5" s="205" t="s">
        <v>114</v>
      </c>
      <c r="AA5" s="205" t="s">
        <v>17</v>
      </c>
      <c r="AB5" s="203"/>
      <c r="AC5" s="127" t="s">
        <v>90</v>
      </c>
    </row>
    <row r="6" spans="1:29">
      <c r="A6" s="194"/>
      <c r="B6" s="206"/>
      <c r="C6" s="204"/>
      <c r="D6" s="206"/>
      <c r="E6" s="204"/>
      <c r="F6" s="206"/>
      <c r="G6" s="208"/>
      <c r="H6" s="79" t="s">
        <v>115</v>
      </c>
      <c r="I6" s="206"/>
      <c r="J6" s="204"/>
      <c r="K6" s="206"/>
      <c r="L6" s="204"/>
      <c r="M6" s="206"/>
      <c r="N6" s="204"/>
      <c r="O6" s="206"/>
      <c r="P6" s="204"/>
      <c r="Q6" s="201"/>
      <c r="R6" s="201"/>
      <c r="S6" s="79" t="s">
        <v>116</v>
      </c>
      <c r="T6" s="204"/>
      <c r="U6" s="204"/>
      <c r="V6" s="204"/>
      <c r="W6" s="204"/>
      <c r="X6" s="204"/>
      <c r="Y6" s="80" t="s">
        <v>94</v>
      </c>
      <c r="Z6" s="204"/>
      <c r="AA6" s="204"/>
      <c r="AB6" s="204"/>
      <c r="AC6" s="128" t="s">
        <v>115</v>
      </c>
    </row>
    <row r="7" spans="1:29">
      <c r="A7" s="195"/>
      <c r="B7" s="81" t="s">
        <v>117</v>
      </c>
      <c r="C7" s="82" t="s">
        <v>118</v>
      </c>
      <c r="D7" s="81" t="s">
        <v>117</v>
      </c>
      <c r="E7" s="82" t="s">
        <v>118</v>
      </c>
      <c r="F7" s="81" t="s">
        <v>117</v>
      </c>
      <c r="G7" s="82" t="s">
        <v>118</v>
      </c>
      <c r="H7" s="82"/>
      <c r="I7" s="81" t="s">
        <v>117</v>
      </c>
      <c r="J7" s="82" t="s">
        <v>118</v>
      </c>
      <c r="K7" s="81" t="s">
        <v>117</v>
      </c>
      <c r="L7" s="82" t="s">
        <v>118</v>
      </c>
      <c r="M7" s="81" t="s">
        <v>117</v>
      </c>
      <c r="N7" s="82" t="s">
        <v>118</v>
      </c>
      <c r="O7" s="81" t="s">
        <v>117</v>
      </c>
      <c r="P7" s="82" t="s">
        <v>118</v>
      </c>
      <c r="Q7" s="83">
        <v>10</v>
      </c>
      <c r="R7" s="83">
        <v>11</v>
      </c>
      <c r="S7" s="81">
        <v>12</v>
      </c>
      <c r="T7" s="82">
        <v>13</v>
      </c>
      <c r="U7" s="82">
        <v>14</v>
      </c>
      <c r="V7" s="82">
        <v>15</v>
      </c>
      <c r="W7" s="82">
        <v>16</v>
      </c>
      <c r="X7" s="82">
        <v>17</v>
      </c>
      <c r="Y7" s="82">
        <v>18</v>
      </c>
      <c r="Z7" s="82">
        <v>20</v>
      </c>
      <c r="AA7" s="82">
        <v>21</v>
      </c>
      <c r="AB7" s="81">
        <v>22</v>
      </c>
      <c r="AC7" s="129">
        <v>23</v>
      </c>
    </row>
    <row r="8" spans="1:29" s="87" customFormat="1" hidden="1">
      <c r="A8" s="84" t="s">
        <v>99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130">
        <v>119.4</v>
      </c>
      <c r="R8" s="131" t="e">
        <v>#REF!</v>
      </c>
      <c r="S8" s="89">
        <v>134.19999999999999</v>
      </c>
      <c r="T8" s="130">
        <v>30.4</v>
      </c>
      <c r="U8" s="130">
        <v>52.8</v>
      </c>
      <c r="V8" s="130">
        <v>0</v>
      </c>
      <c r="W8" s="130">
        <v>0</v>
      </c>
      <c r="X8" s="130">
        <v>217.4</v>
      </c>
      <c r="Y8" s="130">
        <v>2.9</v>
      </c>
      <c r="Z8" s="130">
        <v>76.5</v>
      </c>
      <c r="AA8" s="130">
        <v>79.400000000000006</v>
      </c>
      <c r="AB8" s="89">
        <v>83.8</v>
      </c>
      <c r="AC8" s="132">
        <v>30.3</v>
      </c>
    </row>
    <row r="9" spans="1:29" s="87" customFormat="1" hidden="1">
      <c r="A9" s="88" t="s">
        <v>100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130">
        <v>205.7</v>
      </c>
      <c r="R9" s="131" t="e">
        <v>#REF!</v>
      </c>
      <c r="S9" s="89">
        <v>301.89999999999998</v>
      </c>
      <c r="T9" s="130">
        <v>176.9</v>
      </c>
      <c r="U9" s="130">
        <v>131</v>
      </c>
      <c r="V9" s="130">
        <v>26.3</v>
      </c>
      <c r="W9" s="130">
        <v>34.5</v>
      </c>
      <c r="X9" s="130">
        <v>670.6</v>
      </c>
      <c r="Y9" s="130">
        <v>35.200000000000003</v>
      </c>
      <c r="Z9" s="130">
        <v>198.7</v>
      </c>
      <c r="AA9" s="130">
        <v>233.9</v>
      </c>
      <c r="AB9" s="130">
        <v>95.8</v>
      </c>
      <c r="AC9" s="132">
        <v>95.2</v>
      </c>
    </row>
    <row r="10" spans="1:29" s="87" customFormat="1" ht="8.85" customHeight="1">
      <c r="A10" s="88" t="s">
        <v>33</v>
      </c>
      <c r="B10" s="133">
        <v>2</v>
      </c>
      <c r="C10" s="133">
        <v>420</v>
      </c>
      <c r="D10" s="134">
        <v>2490</v>
      </c>
      <c r="E10" s="133">
        <v>801</v>
      </c>
      <c r="F10" s="133">
        <v>47</v>
      </c>
      <c r="G10" s="133">
        <v>580</v>
      </c>
      <c r="H10" s="133">
        <v>4340</v>
      </c>
      <c r="I10" s="133">
        <v>16</v>
      </c>
      <c r="J10" s="133">
        <v>110</v>
      </c>
      <c r="K10" s="133">
        <v>2414</v>
      </c>
      <c r="L10" s="133">
        <v>1360</v>
      </c>
      <c r="M10" s="133">
        <v>13</v>
      </c>
      <c r="N10" s="133">
        <v>181</v>
      </c>
      <c r="O10" s="133">
        <v>96</v>
      </c>
      <c r="P10" s="133">
        <v>150</v>
      </c>
      <c r="Q10" s="135">
        <v>226.6</v>
      </c>
      <c r="R10" s="136" t="e">
        <v>#REF!</v>
      </c>
      <c r="S10" s="137">
        <v>532.4</v>
      </c>
      <c r="T10" s="135">
        <v>504.8</v>
      </c>
      <c r="U10" s="135">
        <v>729.5</v>
      </c>
      <c r="V10" s="135">
        <v>54.5</v>
      </c>
      <c r="W10" s="135">
        <v>31.8</v>
      </c>
      <c r="X10" s="135">
        <v>1853</v>
      </c>
      <c r="Y10" s="135">
        <v>97.6</v>
      </c>
      <c r="Z10" s="135">
        <v>186.9</v>
      </c>
      <c r="AA10" s="135">
        <v>284.5</v>
      </c>
      <c r="AB10" s="135">
        <v>124.4</v>
      </c>
      <c r="AC10" s="138">
        <v>238</v>
      </c>
    </row>
    <row r="11" spans="1:29" s="87" customFormat="1" ht="8.85" customHeight="1">
      <c r="A11" s="88" t="s">
        <v>34</v>
      </c>
      <c r="B11" s="133">
        <v>2</v>
      </c>
      <c r="C11" s="133">
        <v>621</v>
      </c>
      <c r="D11" s="133">
        <v>2904</v>
      </c>
      <c r="E11" s="133">
        <v>1020</v>
      </c>
      <c r="F11" s="133">
        <v>81</v>
      </c>
      <c r="G11" s="133">
        <v>319</v>
      </c>
      <c r="H11" s="133">
        <v>4947</v>
      </c>
      <c r="I11" s="133">
        <v>20</v>
      </c>
      <c r="J11" s="133">
        <v>129</v>
      </c>
      <c r="K11" s="133">
        <v>2830</v>
      </c>
      <c r="L11" s="133">
        <v>1460</v>
      </c>
      <c r="M11" s="133">
        <v>15</v>
      </c>
      <c r="N11" s="133">
        <v>189</v>
      </c>
      <c r="O11" s="133">
        <v>122</v>
      </c>
      <c r="P11" s="133">
        <v>182</v>
      </c>
      <c r="Q11" s="135">
        <v>498.8</v>
      </c>
      <c r="R11" s="136" t="e">
        <v>#REF!</v>
      </c>
      <c r="S11" s="137">
        <v>680.3</v>
      </c>
      <c r="T11" s="135">
        <v>1001.7</v>
      </c>
      <c r="U11" s="135">
        <v>1673.6</v>
      </c>
      <c r="V11" s="135">
        <v>185</v>
      </c>
      <c r="W11" s="135">
        <v>126.5</v>
      </c>
      <c r="X11" s="135">
        <v>3667.1</v>
      </c>
      <c r="Y11" s="135">
        <v>413.2</v>
      </c>
      <c r="Z11" s="135">
        <v>341.5</v>
      </c>
      <c r="AA11" s="135">
        <v>754.7</v>
      </c>
      <c r="AB11" s="135">
        <v>342.3</v>
      </c>
      <c r="AC11" s="138">
        <v>353.4</v>
      </c>
    </row>
    <row r="12" spans="1:29" s="87" customFormat="1" ht="8.85" customHeight="1">
      <c r="A12" s="88" t="s">
        <v>35</v>
      </c>
      <c r="B12" s="133">
        <v>2</v>
      </c>
      <c r="C12" s="133">
        <v>621</v>
      </c>
      <c r="D12" s="133">
        <v>3350</v>
      </c>
      <c r="E12" s="133">
        <v>1217</v>
      </c>
      <c r="F12" s="133">
        <v>43</v>
      </c>
      <c r="G12" s="133">
        <v>900</v>
      </c>
      <c r="H12" s="133">
        <v>6133</v>
      </c>
      <c r="I12" s="133">
        <v>25</v>
      </c>
      <c r="J12" s="133">
        <v>152</v>
      </c>
      <c r="K12" s="133">
        <v>3213</v>
      </c>
      <c r="L12" s="133">
        <v>2257</v>
      </c>
      <c r="M12" s="133">
        <v>17</v>
      </c>
      <c r="N12" s="133">
        <v>193</v>
      </c>
      <c r="O12" s="133">
        <v>140</v>
      </c>
      <c r="P12" s="133">
        <v>136</v>
      </c>
      <c r="Q12" s="135">
        <v>915.9</v>
      </c>
      <c r="R12" s="136" t="e">
        <v>#REF!</v>
      </c>
      <c r="S12" s="137">
        <v>964.3</v>
      </c>
      <c r="T12" s="135">
        <v>1586</v>
      </c>
      <c r="U12" s="135">
        <v>2207.1</v>
      </c>
      <c r="V12" s="135">
        <v>310.3</v>
      </c>
      <c r="W12" s="135">
        <v>410</v>
      </c>
      <c r="X12" s="135">
        <v>5477.7</v>
      </c>
      <c r="Y12" s="135">
        <v>1440.9</v>
      </c>
      <c r="Z12" s="135">
        <v>317.60000000000002</v>
      </c>
      <c r="AA12" s="135">
        <v>1758.5</v>
      </c>
      <c r="AB12" s="135">
        <v>452.5</v>
      </c>
      <c r="AC12" s="138">
        <v>537.20000000000005</v>
      </c>
    </row>
    <row r="13" spans="1:29" s="87" customFormat="1" ht="8.85" customHeight="1">
      <c r="A13" s="88" t="s">
        <v>36</v>
      </c>
      <c r="B13" s="133">
        <v>9</v>
      </c>
      <c r="C13" s="133">
        <v>459</v>
      </c>
      <c r="D13" s="133">
        <v>3425</v>
      </c>
      <c r="E13" s="133">
        <v>1048</v>
      </c>
      <c r="F13" s="133">
        <v>92</v>
      </c>
      <c r="G13" s="133">
        <v>1224</v>
      </c>
      <c r="H13" s="133">
        <v>6257</v>
      </c>
      <c r="I13" s="133">
        <v>10</v>
      </c>
      <c r="J13" s="133">
        <v>111</v>
      </c>
      <c r="K13" s="133">
        <v>3332</v>
      </c>
      <c r="L13" s="133">
        <v>1920</v>
      </c>
      <c r="M13" s="133">
        <v>25</v>
      </c>
      <c r="N13" s="133">
        <v>121</v>
      </c>
      <c r="O13" s="133">
        <v>159</v>
      </c>
      <c r="P13" s="133">
        <v>579</v>
      </c>
      <c r="Q13" s="135">
        <v>1552.8</v>
      </c>
      <c r="R13" s="136" t="e">
        <v>#REF!</v>
      </c>
      <c r="S13" s="137">
        <v>1304.2</v>
      </c>
      <c r="T13" s="135">
        <v>2004.2</v>
      </c>
      <c r="U13" s="135">
        <v>3104.6</v>
      </c>
      <c r="V13" s="135">
        <v>260.10000000000002</v>
      </c>
      <c r="W13" s="135">
        <v>545.70000000000005</v>
      </c>
      <c r="X13" s="135">
        <v>7218.8</v>
      </c>
      <c r="Y13" s="135">
        <v>932.1</v>
      </c>
      <c r="Z13" s="135">
        <v>330</v>
      </c>
      <c r="AA13" s="135">
        <v>1262.0999999999999</v>
      </c>
      <c r="AB13" s="135">
        <v>1133.5999999999999</v>
      </c>
      <c r="AC13" s="138">
        <v>1018.5</v>
      </c>
    </row>
    <row r="14" spans="1:29" s="87" customFormat="1" ht="8.85" customHeight="1">
      <c r="A14" s="88" t="s">
        <v>37</v>
      </c>
      <c r="B14" s="133">
        <v>209.3</v>
      </c>
      <c r="C14" s="133">
        <v>558.9</v>
      </c>
      <c r="D14" s="133">
        <v>4891.6000000000004</v>
      </c>
      <c r="E14" s="133">
        <v>902.1</v>
      </c>
      <c r="F14" s="133">
        <v>1005.8</v>
      </c>
      <c r="G14" s="133">
        <v>1519.6</v>
      </c>
      <c r="H14" s="133">
        <v>9087.2999999999993</v>
      </c>
      <c r="I14" s="133">
        <v>29.8</v>
      </c>
      <c r="J14" s="133">
        <v>254.3</v>
      </c>
      <c r="K14" s="133">
        <v>5595</v>
      </c>
      <c r="L14" s="133">
        <v>2421.8000000000002</v>
      </c>
      <c r="M14" s="133">
        <v>31.6</v>
      </c>
      <c r="N14" s="133">
        <v>163.4</v>
      </c>
      <c r="O14" s="133">
        <v>450.3</v>
      </c>
      <c r="P14" s="133">
        <v>141.1</v>
      </c>
      <c r="Q14" s="138">
        <v>1678.4</v>
      </c>
      <c r="R14" s="139" t="e">
        <v>#REF!</v>
      </c>
      <c r="S14" s="140">
        <v>1640</v>
      </c>
      <c r="T14" s="140">
        <v>2340.4</v>
      </c>
      <c r="U14" s="140">
        <v>4239.3999999999996</v>
      </c>
      <c r="V14" s="140">
        <v>235.3</v>
      </c>
      <c r="W14" s="140">
        <v>607.70000000000005</v>
      </c>
      <c r="X14" s="140">
        <v>9062.7999999999993</v>
      </c>
      <c r="Y14" s="137">
        <v>842.8</v>
      </c>
      <c r="Z14" s="135">
        <v>286.39999999999998</v>
      </c>
      <c r="AA14" s="135">
        <v>1129.2</v>
      </c>
      <c r="AB14" s="140">
        <v>1728.6</v>
      </c>
      <c r="AC14" s="140">
        <v>1129.0999999999999</v>
      </c>
    </row>
    <row r="15" spans="1:29" s="87" customFormat="1" ht="8.85" customHeight="1">
      <c r="A15" s="88" t="s">
        <v>38</v>
      </c>
      <c r="B15" s="133">
        <v>409.3</v>
      </c>
      <c r="C15" s="133">
        <v>638.9</v>
      </c>
      <c r="D15" s="133">
        <v>5696</v>
      </c>
      <c r="E15" s="133">
        <v>1256.3</v>
      </c>
      <c r="F15" s="133">
        <v>2692</v>
      </c>
      <c r="G15" s="133">
        <v>1681.5</v>
      </c>
      <c r="H15" s="133">
        <v>12374</v>
      </c>
      <c r="I15" s="133">
        <v>32.1</v>
      </c>
      <c r="J15" s="133">
        <v>380</v>
      </c>
      <c r="K15" s="133">
        <v>8500</v>
      </c>
      <c r="L15" s="133">
        <v>2600</v>
      </c>
      <c r="M15" s="133">
        <v>82.5</v>
      </c>
      <c r="N15" s="133">
        <v>222</v>
      </c>
      <c r="O15" s="133">
        <v>182.7</v>
      </c>
      <c r="P15" s="133">
        <v>374.7</v>
      </c>
      <c r="Q15" s="135">
        <v>2060.1999999999998</v>
      </c>
      <c r="R15" s="139" t="e">
        <v>#REF!</v>
      </c>
      <c r="S15" s="137">
        <v>2151.6</v>
      </c>
      <c r="T15" s="135">
        <v>2965.4</v>
      </c>
      <c r="U15" s="135">
        <v>4704.3</v>
      </c>
      <c r="V15" s="135">
        <v>277.8</v>
      </c>
      <c r="W15" s="135">
        <v>766.2</v>
      </c>
      <c r="X15" s="137">
        <v>10865.3</v>
      </c>
      <c r="Y15" s="135">
        <v>837.2</v>
      </c>
      <c r="Z15" s="135">
        <v>430.8</v>
      </c>
      <c r="AA15" s="135">
        <v>1268</v>
      </c>
      <c r="AB15" s="138">
        <v>2048.5</v>
      </c>
      <c r="AC15" s="140">
        <v>1615.4</v>
      </c>
    </row>
    <row r="16" spans="1:29" s="87" customFormat="1" ht="8.85" customHeight="1">
      <c r="A16" s="88" t="s">
        <v>39</v>
      </c>
      <c r="B16" s="133">
        <v>509</v>
      </c>
      <c r="C16" s="133">
        <v>675</v>
      </c>
      <c r="D16" s="133">
        <v>7597</v>
      </c>
      <c r="E16" s="133">
        <v>1566</v>
      </c>
      <c r="F16" s="133">
        <v>1306.2</v>
      </c>
      <c r="G16" s="133">
        <v>1881.9</v>
      </c>
      <c r="H16" s="133">
        <v>13535.1</v>
      </c>
      <c r="I16" s="133">
        <v>263</v>
      </c>
      <c r="J16" s="133">
        <v>280</v>
      </c>
      <c r="K16" s="133">
        <v>8653.2000000000007</v>
      </c>
      <c r="L16" s="133">
        <v>2864.8</v>
      </c>
      <c r="M16" s="133">
        <v>42</v>
      </c>
      <c r="N16" s="133">
        <v>175</v>
      </c>
      <c r="O16" s="133">
        <v>454</v>
      </c>
      <c r="P16" s="133">
        <v>803.1</v>
      </c>
      <c r="Q16" s="135">
        <v>2479.1</v>
      </c>
      <c r="R16" s="139" t="e">
        <v>#REF!</v>
      </c>
      <c r="S16" s="137">
        <v>2435.9</v>
      </c>
      <c r="T16" s="135">
        <v>3144.4</v>
      </c>
      <c r="U16" s="135">
        <v>5292.6</v>
      </c>
      <c r="V16" s="135">
        <v>363.6</v>
      </c>
      <c r="W16" s="135">
        <v>713.1</v>
      </c>
      <c r="X16" s="137">
        <v>11949.6</v>
      </c>
      <c r="Y16" s="135">
        <v>1120</v>
      </c>
      <c r="Z16" s="135">
        <v>503.4</v>
      </c>
      <c r="AA16" s="135">
        <v>1623.4</v>
      </c>
      <c r="AB16" s="138">
        <v>2862.4</v>
      </c>
      <c r="AC16" s="140">
        <v>2017.3</v>
      </c>
    </row>
    <row r="17" spans="1:29" s="87" customFormat="1" ht="8.85" customHeight="1">
      <c r="A17" s="88" t="s">
        <v>41</v>
      </c>
      <c r="B17" s="133">
        <v>509.3</v>
      </c>
      <c r="C17" s="133">
        <v>790.7</v>
      </c>
      <c r="D17" s="133">
        <v>9239</v>
      </c>
      <c r="E17" s="133">
        <v>2361</v>
      </c>
      <c r="F17" s="133">
        <v>2123.8000000000002</v>
      </c>
      <c r="G17" s="133">
        <v>1250</v>
      </c>
      <c r="H17" s="133">
        <v>16273.8</v>
      </c>
      <c r="I17" s="133">
        <v>201.48</v>
      </c>
      <c r="J17" s="133">
        <v>410.76</v>
      </c>
      <c r="K17" s="133">
        <v>10839.9</v>
      </c>
      <c r="L17" s="133">
        <v>2897.6</v>
      </c>
      <c r="M17" s="133">
        <v>109.56</v>
      </c>
      <c r="N17" s="133">
        <v>399.8</v>
      </c>
      <c r="O17" s="133">
        <v>721.1</v>
      </c>
      <c r="P17" s="133">
        <v>693.6</v>
      </c>
      <c r="Q17" s="135" t="s">
        <v>40</v>
      </c>
      <c r="R17" s="139" t="e">
        <v>#REF!</v>
      </c>
      <c r="S17" s="137">
        <v>2477.4</v>
      </c>
      <c r="T17" s="135">
        <v>4211.1000000000004</v>
      </c>
      <c r="U17" s="135">
        <v>6806.5</v>
      </c>
      <c r="V17" s="135">
        <v>148.80000000000001</v>
      </c>
      <c r="W17" s="135">
        <v>829.9</v>
      </c>
      <c r="X17" s="137">
        <v>14473.7</v>
      </c>
      <c r="Y17" s="135">
        <v>913</v>
      </c>
      <c r="Z17" s="135">
        <v>1479.4</v>
      </c>
      <c r="AA17" s="135">
        <v>2392.4</v>
      </c>
      <c r="AB17" s="138">
        <v>2674</v>
      </c>
      <c r="AC17" s="140">
        <v>2576.3000000000002</v>
      </c>
    </row>
    <row r="18" spans="1:29" s="147" customFormat="1" ht="8.85" customHeight="1">
      <c r="A18" s="141" t="s">
        <v>42</v>
      </c>
      <c r="B18" s="142">
        <v>629.29999999999995</v>
      </c>
      <c r="C18" s="142">
        <v>924.8</v>
      </c>
      <c r="D18" s="142">
        <v>12275.3</v>
      </c>
      <c r="E18" s="142">
        <v>1546.1</v>
      </c>
      <c r="F18" s="142">
        <v>904.5</v>
      </c>
      <c r="G18" s="142">
        <v>2726.3</v>
      </c>
      <c r="H18" s="142">
        <v>19006.3</v>
      </c>
      <c r="I18" s="142">
        <v>1011.1</v>
      </c>
      <c r="J18" s="142">
        <v>465.7</v>
      </c>
      <c r="K18" s="142">
        <v>11751.9</v>
      </c>
      <c r="L18" s="142">
        <v>3032.3</v>
      </c>
      <c r="M18" s="142">
        <v>134.5</v>
      </c>
      <c r="N18" s="142">
        <v>296.3</v>
      </c>
      <c r="O18" s="142">
        <v>911.6</v>
      </c>
      <c r="P18" s="142">
        <v>1402.9</v>
      </c>
      <c r="Q18" s="143">
        <v>3893.5</v>
      </c>
      <c r="R18" s="144" t="e">
        <v>#REF!</v>
      </c>
      <c r="S18" s="145">
        <v>3003.2</v>
      </c>
      <c r="T18" s="144">
        <v>5331.6</v>
      </c>
      <c r="U18" s="145">
        <v>8360.2000000000007</v>
      </c>
      <c r="V18" s="144">
        <v>287.89999999999998</v>
      </c>
      <c r="W18" s="145">
        <v>850.7</v>
      </c>
      <c r="X18" s="144">
        <v>17833.599999999999</v>
      </c>
      <c r="Y18" s="145">
        <v>1306.8</v>
      </c>
      <c r="Z18" s="144">
        <v>558.5</v>
      </c>
      <c r="AA18" s="145">
        <v>1865.3</v>
      </c>
      <c r="AB18" s="144">
        <v>5048.8</v>
      </c>
      <c r="AC18" s="146">
        <v>2513.1</v>
      </c>
    </row>
    <row r="19" spans="1:29" s="87" customFormat="1" ht="8.85" customHeight="1">
      <c r="A19" s="109" t="s">
        <v>43</v>
      </c>
      <c r="B19" s="142">
        <v>659.3</v>
      </c>
      <c r="C19" s="142">
        <v>1186.7</v>
      </c>
      <c r="D19" s="142">
        <v>14878.1</v>
      </c>
      <c r="E19" s="142">
        <v>1631</v>
      </c>
      <c r="F19" s="142">
        <v>1254.2</v>
      </c>
      <c r="G19" s="142">
        <v>2902.2</v>
      </c>
      <c r="H19" s="142">
        <v>22511.5</v>
      </c>
      <c r="I19" s="148">
        <v>1174.3</v>
      </c>
      <c r="J19" s="148">
        <v>643.6</v>
      </c>
      <c r="K19" s="148">
        <v>14090.2</v>
      </c>
      <c r="L19" s="148">
        <v>3212.6</v>
      </c>
      <c r="M19" s="148">
        <v>231.2</v>
      </c>
      <c r="N19" s="148">
        <v>280.8</v>
      </c>
      <c r="O19" s="148">
        <v>1295.9000000000001</v>
      </c>
      <c r="P19" s="142">
        <v>1582.9</v>
      </c>
      <c r="Q19" s="149">
        <v>2939.5</v>
      </c>
      <c r="R19" s="144" t="e">
        <v>#REF!</v>
      </c>
      <c r="S19" s="109">
        <v>3591</v>
      </c>
      <c r="T19" s="150">
        <v>6807.5</v>
      </c>
      <c r="U19" s="109">
        <v>9448.9</v>
      </c>
      <c r="V19" s="150">
        <v>247.2</v>
      </c>
      <c r="W19" s="109">
        <v>1128.7</v>
      </c>
      <c r="X19" s="144">
        <v>21223.3</v>
      </c>
      <c r="Y19" s="109">
        <v>567.5</v>
      </c>
      <c r="Z19" s="150">
        <v>1843.7</v>
      </c>
      <c r="AA19" s="145">
        <v>2411.1999999999998</v>
      </c>
      <c r="AB19" s="150">
        <v>3904.9</v>
      </c>
      <c r="AC19" s="151">
        <v>2979</v>
      </c>
    </row>
    <row r="20" spans="1:29" s="87" customFormat="1" ht="8.85" customHeight="1">
      <c r="A20" s="109" t="s">
        <v>44</v>
      </c>
      <c r="B20" s="142">
        <v>659.3</v>
      </c>
      <c r="C20" s="142">
        <v>1326.1</v>
      </c>
      <c r="D20" s="142">
        <v>17914.3</v>
      </c>
      <c r="E20" s="142">
        <v>1833.5</v>
      </c>
      <c r="F20" s="142">
        <v>1596</v>
      </c>
      <c r="G20" s="142">
        <v>3081.5</v>
      </c>
      <c r="H20" s="142">
        <v>26446.7</v>
      </c>
      <c r="I20" s="148">
        <v>1188</v>
      </c>
      <c r="J20" s="148">
        <v>782.8</v>
      </c>
      <c r="K20" s="148">
        <v>17558</v>
      </c>
      <c r="L20" s="148">
        <v>3242.4</v>
      </c>
      <c r="M20" s="148">
        <v>255.4</v>
      </c>
      <c r="N20" s="148">
        <v>353.9</v>
      </c>
      <c r="O20" s="148">
        <v>1204.2</v>
      </c>
      <c r="P20" s="142">
        <v>1862</v>
      </c>
      <c r="Q20" s="150"/>
      <c r="R20" s="144"/>
      <c r="S20" s="150"/>
      <c r="T20" s="150"/>
      <c r="U20" s="150"/>
      <c r="V20" s="150"/>
      <c r="W20" s="150"/>
      <c r="X20" s="144"/>
      <c r="Y20" s="150"/>
      <c r="Z20" s="150"/>
      <c r="AA20" s="144"/>
      <c r="AB20" s="150"/>
      <c r="AC20" s="150"/>
    </row>
    <row r="21" spans="1:29" s="87" customFormat="1" ht="8.85" customHeight="1">
      <c r="A21" s="109" t="s">
        <v>45</v>
      </c>
      <c r="B21" s="152">
        <v>1647.3</v>
      </c>
      <c r="C21" s="152">
        <v>1270.4000000000001</v>
      </c>
      <c r="D21" s="152">
        <v>21839.200000000001</v>
      </c>
      <c r="E21" s="152">
        <v>2202</v>
      </c>
      <c r="F21" s="152">
        <v>1405.3</v>
      </c>
      <c r="G21" s="152">
        <v>3225.2</v>
      </c>
      <c r="H21" s="152">
        <v>31589.4</v>
      </c>
      <c r="I21" s="153">
        <v>946.3</v>
      </c>
      <c r="J21" s="153">
        <v>511.1</v>
      </c>
      <c r="K21" s="153">
        <v>21632.2</v>
      </c>
      <c r="L21" s="153">
        <v>4231.8999999999996</v>
      </c>
      <c r="M21" s="153">
        <v>339.9</v>
      </c>
      <c r="N21" s="153">
        <v>479.3</v>
      </c>
      <c r="O21" s="153">
        <v>1973.4</v>
      </c>
      <c r="P21" s="152">
        <v>1475.3</v>
      </c>
      <c r="Q21" s="150"/>
      <c r="R21" s="144"/>
      <c r="S21" s="150"/>
      <c r="T21" s="150"/>
      <c r="U21" s="150"/>
      <c r="V21" s="150"/>
      <c r="W21" s="150"/>
      <c r="X21" s="144"/>
      <c r="Y21" s="150"/>
      <c r="Z21" s="150"/>
      <c r="AA21" s="144"/>
      <c r="AB21" s="150"/>
      <c r="AC21" s="150"/>
    </row>
    <row r="22" spans="1:29" s="87" customFormat="1" ht="8.85" customHeight="1">
      <c r="A22" s="88" t="s">
        <v>46</v>
      </c>
      <c r="B22" s="103">
        <v>1647.3</v>
      </c>
      <c r="C22" s="103">
        <v>1270.4000000000001</v>
      </c>
      <c r="D22" s="103">
        <v>26425.4</v>
      </c>
      <c r="E22" s="103">
        <v>2383.6999999999998</v>
      </c>
      <c r="F22" s="154">
        <v>1565</v>
      </c>
      <c r="G22" s="103">
        <v>3722.5</v>
      </c>
      <c r="H22" s="103">
        <v>37014.300000000003</v>
      </c>
      <c r="I22" s="103">
        <v>1079.9000000000001</v>
      </c>
      <c r="J22" s="103">
        <v>657.5</v>
      </c>
      <c r="K22" s="103">
        <v>26062.9</v>
      </c>
      <c r="L22" s="103">
        <v>4966.8999999999996</v>
      </c>
      <c r="M22" s="103">
        <v>566.20000000000005</v>
      </c>
      <c r="N22" s="155">
        <v>522.29999999999995</v>
      </c>
      <c r="O22" s="88">
        <v>1928.7</v>
      </c>
      <c r="P22" s="88">
        <v>1229.9000000000001</v>
      </c>
      <c r="Q22" s="104"/>
      <c r="R22" s="104"/>
      <c r="S22" s="104"/>
      <c r="T22" s="104"/>
      <c r="U22" s="104"/>
    </row>
    <row r="23" spans="1:29" s="87" customFormat="1" ht="8.85" customHeight="1">
      <c r="A23" s="88" t="s">
        <v>49</v>
      </c>
      <c r="B23" s="103">
        <v>1890</v>
      </c>
      <c r="C23" s="103">
        <v>1560</v>
      </c>
      <c r="D23" s="103">
        <v>33250</v>
      </c>
      <c r="E23" s="103">
        <v>4060</v>
      </c>
      <c r="F23" s="154">
        <v>2980</v>
      </c>
      <c r="G23" s="103">
        <v>3720</v>
      </c>
      <c r="H23" s="103">
        <v>47460</v>
      </c>
      <c r="I23" s="103">
        <v>920</v>
      </c>
      <c r="J23" s="103">
        <v>700</v>
      </c>
      <c r="K23" s="103">
        <v>33500</v>
      </c>
      <c r="L23" s="103">
        <v>6700</v>
      </c>
      <c r="M23" s="103">
        <v>1540</v>
      </c>
      <c r="N23" s="88">
        <v>870</v>
      </c>
      <c r="O23" s="88">
        <v>2160</v>
      </c>
      <c r="P23" s="88">
        <v>1070</v>
      </c>
    </row>
    <row r="24" spans="1:29" ht="8.85" customHeight="1">
      <c r="A24" s="105" t="s">
        <v>119</v>
      </c>
      <c r="B24" s="97">
        <v>2451.4</v>
      </c>
      <c r="C24" s="97">
        <v>1642</v>
      </c>
      <c r="D24" s="97">
        <v>38540</v>
      </c>
      <c r="E24" s="97">
        <v>5330</v>
      </c>
      <c r="F24" s="98">
        <v>2460</v>
      </c>
      <c r="G24" s="97">
        <v>3220</v>
      </c>
      <c r="H24" s="97">
        <v>53643.4</v>
      </c>
      <c r="I24" s="97">
        <v>541.4</v>
      </c>
      <c r="J24" s="97">
        <v>722</v>
      </c>
      <c r="K24" s="97">
        <v>38830</v>
      </c>
      <c r="L24" s="97">
        <v>7110</v>
      </c>
      <c r="M24" s="97">
        <v>1800</v>
      </c>
      <c r="N24" s="105">
        <v>960</v>
      </c>
      <c r="O24" s="105">
        <v>2280</v>
      </c>
      <c r="P24" s="105">
        <v>1400</v>
      </c>
    </row>
    <row r="25" spans="1:29" s="87" customFormat="1" ht="8.85" customHeight="1">
      <c r="A25" s="88" t="s">
        <v>51</v>
      </c>
      <c r="B25" s="103">
        <v>2451.4</v>
      </c>
      <c r="C25" s="103">
        <v>1642</v>
      </c>
      <c r="D25" s="103">
        <v>44040</v>
      </c>
      <c r="E25" s="103">
        <v>6830</v>
      </c>
      <c r="F25" s="154">
        <v>2750</v>
      </c>
      <c r="G25" s="103">
        <v>3500</v>
      </c>
      <c r="H25" s="103">
        <v>61213.4</v>
      </c>
      <c r="I25" s="103">
        <v>750</v>
      </c>
      <c r="J25" s="103">
        <v>900</v>
      </c>
      <c r="K25" s="103">
        <v>44491.4</v>
      </c>
      <c r="L25" s="103">
        <v>8202</v>
      </c>
      <c r="M25" s="103">
        <v>2100</v>
      </c>
      <c r="N25" s="88">
        <v>1070</v>
      </c>
      <c r="O25" s="88">
        <v>1900</v>
      </c>
      <c r="P25" s="88">
        <v>1800</v>
      </c>
    </row>
    <row r="26" spans="1:29" ht="8.85" customHeight="1">
      <c r="A26" s="105" t="s">
        <v>52</v>
      </c>
      <c r="B26" s="97">
        <v>2451.4</v>
      </c>
      <c r="C26" s="97">
        <v>1642</v>
      </c>
      <c r="D26" s="97">
        <v>48020</v>
      </c>
      <c r="E26" s="97">
        <v>7850</v>
      </c>
      <c r="F26" s="98">
        <v>3200</v>
      </c>
      <c r="G26" s="97">
        <v>4020</v>
      </c>
      <c r="H26" s="97">
        <v>67183.399999999994</v>
      </c>
      <c r="I26" s="97">
        <v>820</v>
      </c>
      <c r="J26" s="97">
        <v>980</v>
      </c>
      <c r="K26" s="97">
        <v>48491.4</v>
      </c>
      <c r="L26" s="97">
        <v>8942</v>
      </c>
      <c r="M26" s="97">
        <v>2290</v>
      </c>
      <c r="N26" s="105">
        <v>1270</v>
      </c>
      <c r="O26" s="105">
        <v>2070</v>
      </c>
      <c r="P26" s="105">
        <v>2320</v>
      </c>
    </row>
    <row r="27" spans="1:29" s="87" customFormat="1" ht="8.85" customHeight="1">
      <c r="A27" s="88" t="s">
        <v>53</v>
      </c>
      <c r="B27" s="103">
        <v>2538.1</v>
      </c>
      <c r="C27" s="103">
        <v>1804.7</v>
      </c>
      <c r="D27" s="103">
        <v>51507.6</v>
      </c>
      <c r="E27" s="103">
        <v>8473.7999999999993</v>
      </c>
      <c r="F27" s="154">
        <v>4563.5</v>
      </c>
      <c r="G27" s="103">
        <v>4947.2</v>
      </c>
      <c r="H27" s="103">
        <v>73834.900000000009</v>
      </c>
      <c r="I27" s="103">
        <v>1704.8</v>
      </c>
      <c r="J27" s="103">
        <v>1001.6</v>
      </c>
      <c r="K27" s="103">
        <v>51516.4</v>
      </c>
      <c r="L27" s="103">
        <v>9349.7999999999993</v>
      </c>
      <c r="M27" s="103">
        <v>1375.4</v>
      </c>
      <c r="N27" s="88">
        <v>1078.4000000000001</v>
      </c>
      <c r="O27" s="88">
        <v>4002.7</v>
      </c>
      <c r="P27" s="88">
        <v>3805.8</v>
      </c>
    </row>
    <row r="28" spans="1:29" ht="8.85" customHeight="1">
      <c r="A28" s="105" t="s">
        <v>54</v>
      </c>
      <c r="B28" s="97">
        <v>2636</v>
      </c>
      <c r="C28" s="97">
        <v>1777.3</v>
      </c>
      <c r="D28" s="97">
        <v>52054.5</v>
      </c>
      <c r="E28" s="97">
        <v>8434.2999999999993</v>
      </c>
      <c r="F28" s="98">
        <v>4326.7</v>
      </c>
      <c r="G28" s="97">
        <v>5140.6000000000004</v>
      </c>
      <c r="H28" s="97">
        <v>74369.400000000009</v>
      </c>
      <c r="I28" s="97">
        <v>752.7</v>
      </c>
      <c r="J28" s="97">
        <v>1518.9</v>
      </c>
      <c r="K28" s="97">
        <v>52378.8</v>
      </c>
      <c r="L28" s="97">
        <v>9488</v>
      </c>
      <c r="M28" s="97">
        <v>2445.9</v>
      </c>
      <c r="N28" s="105">
        <v>1364.6</v>
      </c>
      <c r="O28" s="105">
        <v>3439.8</v>
      </c>
      <c r="P28" s="105">
        <v>2980.7</v>
      </c>
    </row>
    <row r="29" spans="1:29" s="87" customFormat="1" ht="8.85" customHeight="1">
      <c r="A29" s="88" t="s">
        <v>55</v>
      </c>
      <c r="B29" s="103">
        <v>2790.8</v>
      </c>
      <c r="C29" s="103">
        <v>1804.7</v>
      </c>
      <c r="D29" s="103">
        <v>57037.599999999999</v>
      </c>
      <c r="E29" s="103">
        <v>8854.2000000000007</v>
      </c>
      <c r="F29" s="154">
        <v>4994.5</v>
      </c>
      <c r="G29" s="103">
        <v>5668.8</v>
      </c>
      <c r="H29" s="103">
        <v>81150.600000000006</v>
      </c>
      <c r="I29" s="103">
        <v>1770.1</v>
      </c>
      <c r="J29" s="103">
        <v>1447.6</v>
      </c>
      <c r="K29" s="103">
        <v>57109.9</v>
      </c>
      <c r="L29" s="103">
        <v>9885.1</v>
      </c>
      <c r="M29" s="103">
        <v>1443.4</v>
      </c>
      <c r="N29" s="88">
        <v>1112.4000000000001</v>
      </c>
      <c r="O29" s="88">
        <v>4499.5</v>
      </c>
      <c r="P29" s="88">
        <v>3882.6</v>
      </c>
    </row>
    <row r="30" spans="1:29" ht="8.85" customHeight="1">
      <c r="A30" s="108" t="s">
        <v>57</v>
      </c>
      <c r="B30" s="97">
        <v>3630</v>
      </c>
      <c r="C30" s="97">
        <v>1800</v>
      </c>
      <c r="D30" s="97">
        <v>63800</v>
      </c>
      <c r="E30" s="97">
        <v>9500</v>
      </c>
      <c r="F30" s="97">
        <v>4800</v>
      </c>
      <c r="G30" s="97">
        <v>7400</v>
      </c>
      <c r="H30" s="97">
        <v>90930</v>
      </c>
      <c r="I30" s="97">
        <v>1710</v>
      </c>
      <c r="J30" s="97">
        <v>1300</v>
      </c>
      <c r="K30" s="97">
        <v>64620</v>
      </c>
      <c r="L30" s="97">
        <v>12250</v>
      </c>
      <c r="M30" s="97">
        <v>1800</v>
      </c>
      <c r="N30" s="97">
        <v>1250</v>
      </c>
      <c r="O30" s="97">
        <v>4100</v>
      </c>
      <c r="P30" s="97">
        <v>3900</v>
      </c>
    </row>
    <row r="31" spans="1:29" s="87" customFormat="1" ht="8.85" customHeight="1">
      <c r="A31" s="109" t="s">
        <v>102</v>
      </c>
      <c r="B31" s="103">
        <v>4664.5</v>
      </c>
      <c r="C31" s="103">
        <v>3176.1</v>
      </c>
      <c r="D31" s="103">
        <v>71078.600000000006</v>
      </c>
      <c r="E31" s="103">
        <v>8226.4</v>
      </c>
      <c r="F31" s="154">
        <v>6264.5</v>
      </c>
      <c r="G31" s="103">
        <v>7687.1</v>
      </c>
      <c r="H31" s="103">
        <v>101097.20000000001</v>
      </c>
      <c r="I31" s="103">
        <v>2778.6</v>
      </c>
      <c r="J31" s="103">
        <v>1332.6</v>
      </c>
      <c r="K31" s="103">
        <v>70972.899999999994</v>
      </c>
      <c r="L31" s="103">
        <v>12109.4</v>
      </c>
      <c r="M31" s="103">
        <v>1424.6</v>
      </c>
      <c r="N31" s="88">
        <v>1061.0999999999999</v>
      </c>
      <c r="O31" s="88">
        <v>6831.6</v>
      </c>
      <c r="P31" s="88">
        <v>4586.3999999999996</v>
      </c>
    </row>
    <row r="32" spans="1:29" ht="8.85" customHeight="1">
      <c r="A32" s="108" t="s">
        <v>60</v>
      </c>
      <c r="B32" s="97">
        <v>4670</v>
      </c>
      <c r="C32" s="97">
        <v>3540</v>
      </c>
      <c r="D32" s="97">
        <v>73900</v>
      </c>
      <c r="E32" s="97">
        <v>8900</v>
      </c>
      <c r="F32" s="98">
        <v>6500</v>
      </c>
      <c r="G32" s="97">
        <v>7500</v>
      </c>
      <c r="H32" s="97">
        <v>105010</v>
      </c>
      <c r="I32" s="97">
        <v>2820</v>
      </c>
      <c r="J32" s="97">
        <v>1350</v>
      </c>
      <c r="K32" s="97">
        <v>73740</v>
      </c>
      <c r="L32" s="97">
        <v>12840</v>
      </c>
      <c r="M32" s="97">
        <v>1460</v>
      </c>
      <c r="N32" s="105">
        <v>1100</v>
      </c>
      <c r="O32" s="105">
        <v>7050</v>
      </c>
      <c r="P32" s="105">
        <v>4650</v>
      </c>
    </row>
    <row r="33" spans="1:16" ht="8.85" customHeight="1">
      <c r="A33" s="108" t="s">
        <v>61</v>
      </c>
      <c r="B33" s="97">
        <v>4670</v>
      </c>
      <c r="C33" s="97">
        <v>3540</v>
      </c>
      <c r="D33" s="97">
        <v>78330</v>
      </c>
      <c r="E33" s="97">
        <v>8940</v>
      </c>
      <c r="F33" s="97">
        <v>6820</v>
      </c>
      <c r="G33" s="97">
        <v>7800</v>
      </c>
      <c r="H33" s="97">
        <v>110100</v>
      </c>
      <c r="I33" s="97">
        <v>2900</v>
      </c>
      <c r="J33" s="97">
        <v>1400</v>
      </c>
      <c r="K33" s="97">
        <v>77360</v>
      </c>
      <c r="L33" s="97">
        <v>13030</v>
      </c>
      <c r="M33" s="97">
        <v>1540</v>
      </c>
      <c r="N33" s="97">
        <v>1150</v>
      </c>
      <c r="O33" s="97">
        <v>8020</v>
      </c>
      <c r="P33" s="97">
        <v>4700</v>
      </c>
    </row>
    <row r="34" spans="1:16" ht="8.85" customHeight="1">
      <c r="A34" s="108" t="s">
        <v>62</v>
      </c>
      <c r="B34" s="97">
        <v>4670</v>
      </c>
      <c r="C34" s="97">
        <v>3540</v>
      </c>
      <c r="D34" s="97">
        <v>83420</v>
      </c>
      <c r="E34" s="97">
        <v>9520</v>
      </c>
      <c r="F34" s="97">
        <v>7230</v>
      </c>
      <c r="G34" s="97">
        <v>8200</v>
      </c>
      <c r="H34" s="97">
        <v>116580</v>
      </c>
      <c r="I34" s="97">
        <v>3010</v>
      </c>
      <c r="J34" s="97">
        <v>1460</v>
      </c>
      <c r="K34" s="97">
        <v>82380</v>
      </c>
      <c r="L34" s="97">
        <v>13800</v>
      </c>
      <c r="M34" s="97">
        <v>1630</v>
      </c>
      <c r="N34" s="97">
        <v>1200</v>
      </c>
      <c r="O34" s="97">
        <v>8300</v>
      </c>
      <c r="P34" s="97">
        <v>4800</v>
      </c>
    </row>
    <row r="35" spans="1:16" s="87" customFormat="1" ht="8.85" customHeight="1">
      <c r="A35" s="109" t="s">
        <v>103</v>
      </c>
      <c r="B35" s="103">
        <v>4700</v>
      </c>
      <c r="C35" s="103">
        <v>3600</v>
      </c>
      <c r="D35" s="103">
        <v>88400</v>
      </c>
      <c r="E35" s="103">
        <v>10900</v>
      </c>
      <c r="F35" s="103">
        <v>7800</v>
      </c>
      <c r="G35" s="103">
        <v>8900</v>
      </c>
      <c r="H35" s="103">
        <v>124300</v>
      </c>
      <c r="I35" s="103">
        <v>3500</v>
      </c>
      <c r="J35" s="103">
        <v>1600</v>
      </c>
      <c r="K35" s="103">
        <v>86600</v>
      </c>
      <c r="L35" s="103">
        <v>15100</v>
      </c>
      <c r="M35" s="103">
        <v>1900</v>
      </c>
      <c r="N35" s="103">
        <v>1400</v>
      </c>
      <c r="O35" s="103">
        <v>8900</v>
      </c>
      <c r="P35" s="103">
        <v>5300</v>
      </c>
    </row>
    <row r="36" spans="1:16" ht="8.85" customHeight="1">
      <c r="A36" s="108" t="s">
        <v>104</v>
      </c>
      <c r="B36" s="97">
        <v>4700</v>
      </c>
      <c r="C36" s="97">
        <v>3600</v>
      </c>
      <c r="D36" s="97">
        <v>93700</v>
      </c>
      <c r="E36" s="97">
        <v>11550</v>
      </c>
      <c r="F36" s="98">
        <v>8100</v>
      </c>
      <c r="G36" s="97">
        <v>9300</v>
      </c>
      <c r="H36" s="97">
        <v>130950</v>
      </c>
      <c r="I36" s="97">
        <v>3800</v>
      </c>
      <c r="J36" s="97">
        <v>1700</v>
      </c>
      <c r="K36" s="97">
        <v>90100</v>
      </c>
      <c r="L36" s="97">
        <v>15800</v>
      </c>
      <c r="M36" s="97">
        <v>2150</v>
      </c>
      <c r="N36" s="105">
        <v>1550</v>
      </c>
      <c r="O36" s="105">
        <v>10450</v>
      </c>
      <c r="P36" s="105">
        <v>5400</v>
      </c>
    </row>
    <row r="37" spans="1:16" ht="8.85" customHeight="1">
      <c r="A37" s="108" t="s">
        <v>65</v>
      </c>
      <c r="B37" s="97">
        <v>5777.5</v>
      </c>
      <c r="C37" s="97">
        <v>4184</v>
      </c>
      <c r="D37" s="97">
        <v>105335.2</v>
      </c>
      <c r="E37" s="97">
        <v>19132.900000000001</v>
      </c>
      <c r="F37" s="97">
        <v>3634.3</v>
      </c>
      <c r="G37" s="97">
        <v>5311.4</v>
      </c>
      <c r="H37" s="97">
        <v>143375.29999999999</v>
      </c>
      <c r="I37" s="97">
        <v>5081.5</v>
      </c>
      <c r="J37" s="97">
        <v>2830.4</v>
      </c>
      <c r="K37" s="97">
        <v>100362.6</v>
      </c>
      <c r="L37" s="97">
        <v>15809.1</v>
      </c>
      <c r="M37" s="97">
        <v>1647.9</v>
      </c>
      <c r="N37" s="97">
        <v>1076.9000000000001</v>
      </c>
      <c r="O37" s="97">
        <v>7655</v>
      </c>
      <c r="P37" s="97">
        <v>8911.9</v>
      </c>
    </row>
    <row r="38" spans="1:16" ht="8.85" customHeight="1">
      <c r="A38" s="108" t="s">
        <v>66</v>
      </c>
      <c r="B38" s="97">
        <v>5777.5</v>
      </c>
      <c r="C38" s="97">
        <v>4184</v>
      </c>
      <c r="D38" s="97">
        <v>110600</v>
      </c>
      <c r="E38" s="97">
        <v>20090</v>
      </c>
      <c r="F38" s="97">
        <v>3810</v>
      </c>
      <c r="G38" s="97">
        <v>5580</v>
      </c>
      <c r="H38" s="97">
        <v>150041.5</v>
      </c>
      <c r="I38" s="97">
        <v>2857.5</v>
      </c>
      <c r="J38" s="97">
        <v>2974</v>
      </c>
      <c r="K38" s="97">
        <v>107720</v>
      </c>
      <c r="L38" s="97">
        <v>16280</v>
      </c>
      <c r="M38" s="97">
        <v>1730</v>
      </c>
      <c r="N38" s="97">
        <v>1250</v>
      </c>
      <c r="O38" s="97">
        <v>7880</v>
      </c>
      <c r="P38" s="97">
        <v>9350</v>
      </c>
    </row>
    <row r="39" spans="1:16" s="87" customFormat="1" ht="8.85" customHeight="1">
      <c r="A39" s="109" t="s">
        <v>67</v>
      </c>
      <c r="B39" s="103">
        <v>6244.9</v>
      </c>
      <c r="C39" s="103">
        <v>4750.3</v>
      </c>
      <c r="D39" s="103">
        <v>115692.7</v>
      </c>
      <c r="E39" s="103">
        <v>19724.2</v>
      </c>
      <c r="F39" s="103">
        <v>7944.6</v>
      </c>
      <c r="G39" s="103">
        <v>3884.9</v>
      </c>
      <c r="H39" s="103">
        <v>158241.59999999998</v>
      </c>
      <c r="I39" s="103">
        <v>2361.3000000000002</v>
      </c>
      <c r="J39" s="103">
        <v>3156</v>
      </c>
      <c r="K39" s="103">
        <v>117983.3</v>
      </c>
      <c r="L39" s="103">
        <v>15313.2</v>
      </c>
      <c r="M39" s="103">
        <v>1648.7</v>
      </c>
      <c r="N39" s="103">
        <v>1088.3</v>
      </c>
      <c r="O39" s="103">
        <v>7888.9</v>
      </c>
      <c r="P39" s="103">
        <v>8801.9</v>
      </c>
    </row>
    <row r="40" spans="1:16" ht="8.85" customHeight="1">
      <c r="A40" s="108" t="s">
        <v>68</v>
      </c>
      <c r="B40" s="97">
        <v>6244.9</v>
      </c>
      <c r="C40" s="97">
        <v>4750.3</v>
      </c>
      <c r="D40" s="97">
        <v>115692.7</v>
      </c>
      <c r="E40" s="97">
        <v>19724.2</v>
      </c>
      <c r="F40" s="98">
        <v>7944.6</v>
      </c>
      <c r="G40" s="97">
        <v>3884.9</v>
      </c>
      <c r="H40" s="97">
        <v>158241.59999999998</v>
      </c>
      <c r="I40" s="97">
        <v>2361.3000000000002</v>
      </c>
      <c r="J40" s="97">
        <v>3156</v>
      </c>
      <c r="K40" s="97">
        <v>117983.3</v>
      </c>
      <c r="L40" s="97">
        <v>15313.2</v>
      </c>
      <c r="M40" s="97">
        <v>1648.7</v>
      </c>
      <c r="N40" s="105">
        <v>1088.3</v>
      </c>
      <c r="O40" s="105">
        <v>7888.9</v>
      </c>
      <c r="P40" s="105">
        <v>8801.9</v>
      </c>
    </row>
    <row r="41" spans="1:16" ht="8.85" customHeight="1">
      <c r="A41" s="108" t="s">
        <v>69</v>
      </c>
      <c r="B41" s="97">
        <v>6771.3</v>
      </c>
      <c r="C41" s="97">
        <v>5780.7</v>
      </c>
      <c r="D41" s="97">
        <v>117905.2</v>
      </c>
      <c r="E41" s="97">
        <v>23442.6</v>
      </c>
      <c r="F41" s="97">
        <v>5135.2</v>
      </c>
      <c r="G41" s="97">
        <v>3992.2</v>
      </c>
      <c r="H41" s="97">
        <v>163027.20000000001</v>
      </c>
      <c r="I41" s="97">
        <v>972.5</v>
      </c>
      <c r="J41" s="97">
        <v>2240.6</v>
      </c>
      <c r="K41" s="97">
        <v>119906</v>
      </c>
      <c r="L41" s="97">
        <v>20814.2</v>
      </c>
      <c r="M41" s="97">
        <v>1631.2</v>
      </c>
      <c r="N41" s="97">
        <v>1133.0999999999999</v>
      </c>
      <c r="O41" s="97">
        <v>7302</v>
      </c>
      <c r="P41" s="97">
        <v>9027.6</v>
      </c>
    </row>
    <row r="42" spans="1:16" ht="8.85" customHeight="1">
      <c r="A42" s="108" t="s">
        <v>70</v>
      </c>
      <c r="B42" s="97">
        <v>7959.5</v>
      </c>
      <c r="C42" s="97">
        <v>6074.4</v>
      </c>
      <c r="D42" s="97">
        <v>129056.5</v>
      </c>
      <c r="E42" s="97">
        <v>24284.799999999999</v>
      </c>
      <c r="F42" s="97">
        <v>4337.3</v>
      </c>
      <c r="G42" s="97">
        <v>4313.6000000000004</v>
      </c>
      <c r="H42" s="97">
        <v>176026.1</v>
      </c>
      <c r="I42" s="97">
        <v>1108.3</v>
      </c>
      <c r="J42" s="97">
        <v>2048.6</v>
      </c>
      <c r="K42" s="97">
        <v>130658.6</v>
      </c>
      <c r="L42" s="97">
        <v>22336.9</v>
      </c>
      <c r="M42" s="97">
        <v>1625.4</v>
      </c>
      <c r="N42" s="97">
        <v>1230.5</v>
      </c>
      <c r="O42" s="97">
        <v>7961</v>
      </c>
      <c r="P42" s="97">
        <v>9056.7999999999993</v>
      </c>
    </row>
    <row r="43" spans="1:16" s="87" customFormat="1" ht="8.85" customHeight="1">
      <c r="A43" s="109" t="s">
        <v>71</v>
      </c>
      <c r="B43" s="103">
        <v>8299.9</v>
      </c>
      <c r="C43" s="103">
        <v>6222.2</v>
      </c>
      <c r="D43" s="103">
        <v>138409.70000000001</v>
      </c>
      <c r="E43" s="103">
        <v>24409.7</v>
      </c>
      <c r="F43" s="103">
        <v>4350.2</v>
      </c>
      <c r="G43" s="103">
        <v>4198.3</v>
      </c>
      <c r="H43" s="103">
        <v>185890.00000000003</v>
      </c>
      <c r="I43" s="103">
        <v>2254.1999999999998</v>
      </c>
      <c r="J43" s="103">
        <v>2369.3000000000002</v>
      </c>
      <c r="K43" s="103">
        <v>138838.5</v>
      </c>
      <c r="L43" s="103">
        <v>22424.6</v>
      </c>
      <c r="M43" s="103">
        <v>1628.6</v>
      </c>
      <c r="N43" s="103">
        <v>1364.7</v>
      </c>
      <c r="O43" s="103">
        <v>8338.5</v>
      </c>
      <c r="P43" s="103">
        <v>8671.6</v>
      </c>
    </row>
    <row r="44" spans="1:16" ht="8.85" customHeight="1">
      <c r="A44" s="108" t="s">
        <v>72</v>
      </c>
      <c r="B44" s="97">
        <v>16179.2</v>
      </c>
      <c r="C44" s="97">
        <v>7834.6</v>
      </c>
      <c r="D44" s="97">
        <v>161525.1</v>
      </c>
      <c r="E44" s="97">
        <v>26039.8</v>
      </c>
      <c r="F44" s="98">
        <v>6252.1</v>
      </c>
      <c r="G44" s="97">
        <v>5043.7</v>
      </c>
      <c r="H44" s="97">
        <v>222874.50000000003</v>
      </c>
      <c r="I44" s="97">
        <v>2475.5</v>
      </c>
      <c r="J44" s="97">
        <v>2640.2</v>
      </c>
      <c r="K44" s="97">
        <v>166542.79999999999</v>
      </c>
      <c r="L44" s="97">
        <v>25829.7</v>
      </c>
      <c r="M44" s="97">
        <v>1714.7</v>
      </c>
      <c r="N44" s="105">
        <v>1461.5</v>
      </c>
      <c r="O44" s="105">
        <v>13223.4</v>
      </c>
      <c r="P44" s="105">
        <v>8986.7000000000007</v>
      </c>
    </row>
    <row r="45" spans="1:16" ht="8.85" customHeight="1">
      <c r="A45" s="108" t="s">
        <v>73</v>
      </c>
      <c r="B45" s="97">
        <v>22266.100000000002</v>
      </c>
      <c r="C45" s="97">
        <v>8853.9</v>
      </c>
      <c r="D45" s="97">
        <v>170095.5</v>
      </c>
      <c r="E45" s="97">
        <v>27290.799999999999</v>
      </c>
      <c r="F45" s="98">
        <v>7200.5</v>
      </c>
      <c r="G45" s="97">
        <v>4862.5</v>
      </c>
      <c r="H45" s="97">
        <v>240569.3</v>
      </c>
      <c r="I45" s="97">
        <v>2255.9</v>
      </c>
      <c r="J45" s="97">
        <v>3068.6000000000004</v>
      </c>
      <c r="K45" s="97">
        <v>181837.09999999998</v>
      </c>
      <c r="L45" s="97">
        <v>27769.5</v>
      </c>
      <c r="M45" s="97">
        <v>1848.6000000000001</v>
      </c>
      <c r="N45" s="105">
        <v>1463.1999999999998</v>
      </c>
      <c r="O45" s="105">
        <v>13620.5</v>
      </c>
      <c r="P45" s="105">
        <v>8705.9</v>
      </c>
    </row>
    <row r="46" spans="1:16" ht="8.85" customHeight="1">
      <c r="A46" s="108" t="s">
        <v>74</v>
      </c>
      <c r="B46" s="97">
        <v>23565.4</v>
      </c>
      <c r="C46" s="97">
        <v>9102.2000000000007</v>
      </c>
      <c r="D46" s="97">
        <v>177841.2</v>
      </c>
      <c r="E46" s="97">
        <v>29062.799999999999</v>
      </c>
      <c r="F46" s="97">
        <v>8287.2999999999993</v>
      </c>
      <c r="G46" s="97">
        <v>4828.5</v>
      </c>
      <c r="H46" s="97">
        <v>252687.40000000002</v>
      </c>
      <c r="I46" s="97">
        <v>2722.7</v>
      </c>
      <c r="J46" s="97">
        <v>2720.2</v>
      </c>
      <c r="K46" s="97">
        <v>190723.8</v>
      </c>
      <c r="L46" s="97">
        <v>29576.7</v>
      </c>
      <c r="M46" s="97">
        <v>2005.5</v>
      </c>
      <c r="N46" s="97">
        <v>1503</v>
      </c>
      <c r="O46" s="97">
        <v>14241.9</v>
      </c>
      <c r="P46" s="97">
        <v>9193.6</v>
      </c>
    </row>
    <row r="47" spans="1:16" s="87" customFormat="1" ht="8.85" customHeight="1">
      <c r="A47" s="109" t="s">
        <v>105</v>
      </c>
      <c r="B47" s="103">
        <v>25564.41</v>
      </c>
      <c r="C47" s="103">
        <v>10416.9</v>
      </c>
      <c r="D47" s="103">
        <v>180120.7</v>
      </c>
      <c r="E47" s="103">
        <v>23622.9</v>
      </c>
      <c r="F47" s="103">
        <v>10919.2</v>
      </c>
      <c r="G47" s="103">
        <v>9672.4</v>
      </c>
      <c r="H47" s="103">
        <v>260316.51</v>
      </c>
      <c r="I47" s="103">
        <v>3754.5</v>
      </c>
      <c r="J47" s="103">
        <v>3145.8</v>
      </c>
      <c r="K47" s="103">
        <v>196226.2</v>
      </c>
      <c r="L47" s="103">
        <v>31548</v>
      </c>
      <c r="M47" s="103">
        <v>2203.9</v>
      </c>
      <c r="N47" s="103">
        <v>1423.2</v>
      </c>
      <c r="O47" s="103">
        <v>14419.6</v>
      </c>
      <c r="P47" s="103">
        <v>7595.3</v>
      </c>
    </row>
    <row r="48" spans="1:16" ht="8.85" customHeight="1">
      <c r="A48" s="108" t="s">
        <v>76</v>
      </c>
      <c r="B48" s="97">
        <v>26567</v>
      </c>
      <c r="C48" s="97">
        <v>12447.4576</v>
      </c>
      <c r="D48" s="97">
        <v>215962.78621532</v>
      </c>
      <c r="E48" s="97">
        <v>31979.595344000001</v>
      </c>
      <c r="F48" s="98">
        <v>7599.7172882699979</v>
      </c>
      <c r="G48" s="97">
        <v>4596.2</v>
      </c>
      <c r="H48" s="97">
        <v>299152.75644759001</v>
      </c>
      <c r="I48" s="97">
        <v>2264.1</v>
      </c>
      <c r="J48" s="97">
        <v>2466.1999999999998</v>
      </c>
      <c r="K48" s="97">
        <v>228088.39550359003</v>
      </c>
      <c r="L48" s="97">
        <v>34956.199999999997</v>
      </c>
      <c r="M48" s="97">
        <v>2244.6999999999998</v>
      </c>
      <c r="N48" s="105">
        <v>1615.7</v>
      </c>
      <c r="O48" s="105">
        <v>17531</v>
      </c>
      <c r="P48" s="105">
        <v>9986.5</v>
      </c>
    </row>
    <row r="49" spans="1:29" ht="8.85" customHeight="1">
      <c r="A49" s="108" t="s">
        <v>77</v>
      </c>
      <c r="B49" s="97">
        <v>26413.793999999998</v>
      </c>
      <c r="C49" s="97">
        <v>12448.378000000001</v>
      </c>
      <c r="D49" s="97">
        <v>199022.92099999997</v>
      </c>
      <c r="E49" s="97">
        <v>47245.8</v>
      </c>
      <c r="F49" s="98">
        <v>5230.1580000000004</v>
      </c>
      <c r="G49" s="97">
        <v>23535.261999999999</v>
      </c>
      <c r="H49" s="97">
        <v>313896.31299999997</v>
      </c>
      <c r="I49" s="97">
        <v>2411.6440000000002</v>
      </c>
      <c r="J49" s="97">
        <v>19225.009999999998</v>
      </c>
      <c r="K49" s="97">
        <v>204209.46899999998</v>
      </c>
      <c r="L49" s="97">
        <v>18781.568800000001</v>
      </c>
      <c r="M49" s="97">
        <v>11148.294000000002</v>
      </c>
      <c r="N49" s="105">
        <v>1646.6470000000002</v>
      </c>
      <c r="O49" s="105">
        <v>12897.501</v>
      </c>
      <c r="P49" s="105">
        <v>43576.214200000002</v>
      </c>
    </row>
    <row r="50" spans="1:29" ht="8.85" customHeight="1">
      <c r="A50" s="108" t="s">
        <v>78</v>
      </c>
      <c r="B50" s="97">
        <v>28560.187999999998</v>
      </c>
      <c r="C50" s="97">
        <v>12959.151</v>
      </c>
      <c r="D50" s="97">
        <v>232633.323</v>
      </c>
      <c r="E50" s="97">
        <v>35308.137999999999</v>
      </c>
      <c r="F50" s="98">
        <v>9016.0409999999993</v>
      </c>
      <c r="G50" s="97">
        <v>4994</v>
      </c>
      <c r="H50" s="97">
        <v>323470.84100000001</v>
      </c>
      <c r="I50" s="97">
        <v>2571.4920000000002</v>
      </c>
      <c r="J50" s="97">
        <v>2287.942</v>
      </c>
      <c r="K50" s="97">
        <v>246170.91200000001</v>
      </c>
      <c r="L50" s="97">
        <v>37241.459000000003</v>
      </c>
      <c r="M50" s="97">
        <v>2374.567</v>
      </c>
      <c r="N50" s="105">
        <v>1760.5809999999999</v>
      </c>
      <c r="O50" s="105">
        <v>19092.580000000002</v>
      </c>
      <c r="P50" s="105">
        <v>11971.31</v>
      </c>
    </row>
    <row r="51" spans="1:29" s="87" customFormat="1" ht="8.85" customHeight="1">
      <c r="A51" s="109" t="s">
        <v>79</v>
      </c>
      <c r="B51" s="103">
        <v>30837.226999999999</v>
      </c>
      <c r="C51" s="103">
        <v>13912.642</v>
      </c>
      <c r="D51" s="103">
        <v>248759.10800000001</v>
      </c>
      <c r="E51" s="103">
        <v>35153.684999999998</v>
      </c>
      <c r="F51" s="103">
        <v>12628.544</v>
      </c>
      <c r="G51" s="103">
        <v>5864.7559999999994</v>
      </c>
      <c r="H51" s="103">
        <v>347155.962</v>
      </c>
      <c r="I51" s="103">
        <v>6690.4380000000001</v>
      </c>
      <c r="J51" s="103">
        <v>2626.9009999999998</v>
      </c>
      <c r="K51" s="103">
        <v>263883.81199999998</v>
      </c>
      <c r="L51" s="103">
        <v>38048.331000000006</v>
      </c>
      <c r="M51" s="103">
        <v>2463.8180000000002</v>
      </c>
      <c r="N51" s="103">
        <v>1791.3440000000001</v>
      </c>
      <c r="O51" s="103">
        <v>19186.611000000001</v>
      </c>
      <c r="P51" s="103">
        <v>12464.66</v>
      </c>
    </row>
    <row r="52" spans="1:29" ht="8.85" customHeight="1">
      <c r="A52" s="108" t="s">
        <v>80</v>
      </c>
      <c r="B52" s="97">
        <v>30254.544000000002</v>
      </c>
      <c r="C52" s="97">
        <v>15308.246999999999</v>
      </c>
      <c r="D52" s="97">
        <v>267549.96599999996</v>
      </c>
      <c r="E52" s="97">
        <v>33313.792999999998</v>
      </c>
      <c r="F52" s="98">
        <v>9020.268</v>
      </c>
      <c r="G52" s="97">
        <v>6656.6</v>
      </c>
      <c r="H52" s="97">
        <v>362103.41799999995</v>
      </c>
      <c r="I52" s="97">
        <v>3192.1240000000003</v>
      </c>
      <c r="J52" s="97">
        <v>1821.0489999999998</v>
      </c>
      <c r="K52" s="97">
        <v>279590.76500000001</v>
      </c>
      <c r="L52" s="97">
        <v>40922.716</v>
      </c>
      <c r="M52" s="97">
        <v>2514.7529999999997</v>
      </c>
      <c r="N52" s="105">
        <v>1816.7380000000001</v>
      </c>
      <c r="O52" s="105">
        <v>21527.139000000003</v>
      </c>
      <c r="P52" s="105">
        <v>10718.136999999999</v>
      </c>
    </row>
    <row r="53" spans="1:29" ht="8.85" customHeight="1">
      <c r="A53" s="110" t="s">
        <v>81</v>
      </c>
      <c r="B53" s="97">
        <v>32547.1</v>
      </c>
      <c r="C53" s="97">
        <v>16251.5</v>
      </c>
      <c r="D53" s="97">
        <v>278954.59999999998</v>
      </c>
      <c r="E53" s="97">
        <v>18293.900000000001</v>
      </c>
      <c r="F53" s="98">
        <v>19151</v>
      </c>
      <c r="G53" s="97">
        <v>27617.9</v>
      </c>
      <c r="H53" s="97">
        <v>392815.99999999994</v>
      </c>
      <c r="I53" s="97">
        <v>3757.78</v>
      </c>
      <c r="J53" s="97">
        <v>3391.7</v>
      </c>
      <c r="K53" s="97">
        <v>301031.7</v>
      </c>
      <c r="L53" s="97">
        <v>43005.599999999999</v>
      </c>
      <c r="M53" s="97">
        <v>2610.5</v>
      </c>
      <c r="N53" s="105">
        <v>1851.1</v>
      </c>
      <c r="O53" s="105">
        <v>23252.400000000001</v>
      </c>
      <c r="P53" s="105">
        <v>13914.9</v>
      </c>
    </row>
    <row r="54" spans="1:29" ht="8.85" customHeight="1">
      <c r="A54" s="110" t="s">
        <v>82</v>
      </c>
      <c r="B54" s="97">
        <v>32547.1</v>
      </c>
      <c r="C54" s="97">
        <v>16417.599999999999</v>
      </c>
      <c r="D54" s="97">
        <v>291865.3</v>
      </c>
      <c r="E54" s="97">
        <v>20135.7</v>
      </c>
      <c r="F54" s="98">
        <v>20862.800000000003</v>
      </c>
      <c r="G54" s="97">
        <v>27318.2</v>
      </c>
      <c r="H54" s="97">
        <v>409146.69999999995</v>
      </c>
      <c r="I54" s="97">
        <v>1983.4</v>
      </c>
      <c r="J54" s="97">
        <v>3409.4</v>
      </c>
      <c r="K54" s="97">
        <v>315958.30000000005</v>
      </c>
      <c r="L54" s="97">
        <v>44263.4</v>
      </c>
      <c r="M54" s="97">
        <v>2595.7999999999997</v>
      </c>
      <c r="N54" s="105">
        <v>1876.6</v>
      </c>
      <c r="O54" s="105">
        <v>24737.399999999998</v>
      </c>
      <c r="P54" s="105">
        <v>14322.1</v>
      </c>
    </row>
    <row r="55" spans="1:29" s="116" customFormat="1" ht="8.85" customHeight="1">
      <c r="A55" s="111" t="s">
        <v>131</v>
      </c>
      <c r="B55" s="115">
        <v>32798.300000000003</v>
      </c>
      <c r="C55" s="115">
        <v>17611.199999999997</v>
      </c>
      <c r="D55" s="115">
        <v>323509.7</v>
      </c>
      <c r="E55" s="115">
        <v>40166.1</v>
      </c>
      <c r="F55" s="115">
        <v>16132.4</v>
      </c>
      <c r="G55" s="115">
        <v>7043.2000000000007</v>
      </c>
      <c r="H55" s="115">
        <v>437260.9</v>
      </c>
      <c r="I55" s="115">
        <v>7348.2000000000007</v>
      </c>
      <c r="J55" s="115">
        <v>3670.4</v>
      </c>
      <c r="K55" s="115">
        <v>335593.8</v>
      </c>
      <c r="L55" s="115">
        <v>44442.399999999994</v>
      </c>
      <c r="M55" s="115">
        <v>2597.6999999999998</v>
      </c>
      <c r="N55" s="115">
        <v>1774.1999999999998</v>
      </c>
      <c r="O55" s="115">
        <v>26900.7</v>
      </c>
      <c r="P55" s="115">
        <v>14933.5</v>
      </c>
    </row>
    <row r="56" spans="1:29" s="121" customFormat="1" ht="8.85" customHeight="1">
      <c r="A56" s="117" t="s">
        <v>126</v>
      </c>
      <c r="B56" s="120">
        <v>32798.199999999997</v>
      </c>
      <c r="C56" s="120">
        <v>17611.2</v>
      </c>
      <c r="D56" s="120">
        <v>347390.5</v>
      </c>
      <c r="E56" s="120">
        <v>42559.4</v>
      </c>
      <c r="F56" s="156">
        <v>17100.599999999999</v>
      </c>
      <c r="G56" s="120">
        <v>8099.6</v>
      </c>
      <c r="H56" s="120">
        <v>465559.5</v>
      </c>
      <c r="I56" s="120">
        <v>3900.5</v>
      </c>
      <c r="J56" s="120">
        <v>4251.5</v>
      </c>
      <c r="K56" s="120">
        <v>359795.4</v>
      </c>
      <c r="L56" s="120">
        <v>45135.4</v>
      </c>
      <c r="M56" s="120">
        <v>2809.7</v>
      </c>
      <c r="N56" s="157">
        <v>3203.1</v>
      </c>
      <c r="O56" s="157">
        <v>30783.7</v>
      </c>
      <c r="P56" s="157">
        <v>15680.2</v>
      </c>
    </row>
    <row r="57" spans="1:29" s="121" customFormat="1" ht="8.85" customHeight="1">
      <c r="A57" s="122" t="s">
        <v>127</v>
      </c>
      <c r="B57" s="120">
        <v>39768.1</v>
      </c>
      <c r="C57" s="120">
        <v>15803.800000000001</v>
      </c>
      <c r="D57" s="120">
        <v>366143.6</v>
      </c>
      <c r="E57" s="120">
        <v>43688.2</v>
      </c>
      <c r="F57" s="156">
        <v>14239.6</v>
      </c>
      <c r="G57" s="120">
        <v>6391.7999999999993</v>
      </c>
      <c r="H57" s="120">
        <v>486035.09999999992</v>
      </c>
      <c r="I57" s="120">
        <v>5554.6</v>
      </c>
      <c r="J57" s="120">
        <v>3296.7000000000003</v>
      </c>
      <c r="K57" s="120">
        <v>381188.6</v>
      </c>
      <c r="L57" s="120">
        <v>43933.3</v>
      </c>
      <c r="M57" s="120">
        <v>2602.6</v>
      </c>
      <c r="N57" s="157">
        <v>1674.4</v>
      </c>
      <c r="O57" s="157">
        <v>30805.5</v>
      </c>
      <c r="P57" s="157">
        <v>16979.400000000001</v>
      </c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</row>
    <row r="58" spans="1:29" s="121" customFormat="1" ht="8.85" customHeight="1">
      <c r="A58" s="122" t="s">
        <v>128</v>
      </c>
      <c r="B58" s="120">
        <v>38204.199999999997</v>
      </c>
      <c r="C58" s="120">
        <v>19163.800000000003</v>
      </c>
      <c r="D58" s="120">
        <v>390579.5</v>
      </c>
      <c r="E58" s="120">
        <v>46879.5</v>
      </c>
      <c r="F58" s="156">
        <v>15707</v>
      </c>
      <c r="G58" s="120">
        <v>7281.5999999999995</v>
      </c>
      <c r="H58" s="120">
        <v>517815.6</v>
      </c>
      <c r="I58" s="120">
        <v>4726.8999999999996</v>
      </c>
      <c r="J58" s="120">
        <v>3484.9</v>
      </c>
      <c r="K58" s="120">
        <v>403292.39999999997</v>
      </c>
      <c r="L58" s="120">
        <v>48694.5</v>
      </c>
      <c r="M58" s="120">
        <v>2596.1999999999998</v>
      </c>
      <c r="N58" s="157">
        <v>2249.3000000000002</v>
      </c>
      <c r="O58" s="157">
        <v>33875.199999999997</v>
      </c>
      <c r="P58" s="157">
        <v>18896.199999999997</v>
      </c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</row>
    <row r="59" spans="1:29" s="116" customFormat="1" ht="8.85" customHeight="1">
      <c r="A59" s="161" t="s">
        <v>129</v>
      </c>
      <c r="B59" s="115">
        <v>38906.699999999997</v>
      </c>
      <c r="C59" s="115">
        <v>19844</v>
      </c>
      <c r="D59" s="115">
        <v>409811.60000000003</v>
      </c>
      <c r="E59" s="115">
        <v>46517.5</v>
      </c>
      <c r="F59" s="163">
        <v>20131.400000000001</v>
      </c>
      <c r="G59" s="115">
        <v>7441.7999999999993</v>
      </c>
      <c r="H59" s="115">
        <v>542653</v>
      </c>
      <c r="I59" s="115">
        <v>6665.2999999999993</v>
      </c>
      <c r="J59" s="115">
        <v>4127.5</v>
      </c>
      <c r="K59" s="115">
        <v>420005.19999999995</v>
      </c>
      <c r="L59" s="115">
        <v>48517.700000000004</v>
      </c>
      <c r="M59" s="115">
        <v>2590.4</v>
      </c>
      <c r="N59" s="164">
        <v>2264.4</v>
      </c>
      <c r="O59" s="164">
        <v>39588.800000000003</v>
      </c>
      <c r="P59" s="164">
        <v>18893.699999999997</v>
      </c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</row>
    <row r="60" spans="1:29">
      <c r="A60" s="122" t="s">
        <v>130</v>
      </c>
      <c r="B60" s="120">
        <v>39449.1</v>
      </c>
      <c r="C60" s="120">
        <v>19926.2</v>
      </c>
      <c r="D60" s="120">
        <v>434795.7</v>
      </c>
      <c r="E60" s="120">
        <v>48838</v>
      </c>
      <c r="F60" s="156">
        <v>18187.400000000001</v>
      </c>
      <c r="G60" s="120">
        <v>8110.9</v>
      </c>
      <c r="H60" s="120">
        <v>569307.29999999993</v>
      </c>
      <c r="I60" s="120">
        <v>4542.2</v>
      </c>
      <c r="J60" s="120">
        <v>4519.5</v>
      </c>
      <c r="K60" s="120">
        <v>450883.7</v>
      </c>
      <c r="L60" s="120">
        <v>51236.800000000003</v>
      </c>
      <c r="M60" s="120">
        <v>2587.1999999999998</v>
      </c>
      <c r="N60" s="157">
        <v>2344.1999999999998</v>
      </c>
      <c r="O60" s="157">
        <v>34419.1</v>
      </c>
      <c r="P60" s="157">
        <v>18774.599999999999</v>
      </c>
      <c r="Q60" s="87"/>
      <c r="R60" s="159"/>
      <c r="S60" s="87"/>
      <c r="T60" s="87"/>
      <c r="U60" s="87"/>
      <c r="V60" s="87"/>
      <c r="W60" s="87"/>
      <c r="X60" s="160"/>
      <c r="Y60" s="87"/>
      <c r="Z60" s="87"/>
      <c r="AA60" s="160"/>
      <c r="AB60" s="87"/>
      <c r="AC60" s="87"/>
    </row>
    <row r="61" spans="1:29">
      <c r="A61" s="122" t="s">
        <v>124</v>
      </c>
      <c r="B61" s="120">
        <v>40207.800000000003</v>
      </c>
      <c r="C61" s="120">
        <v>20240.099999999999</v>
      </c>
      <c r="D61" s="120">
        <v>422798.5</v>
      </c>
      <c r="E61" s="120">
        <v>26406.1</v>
      </c>
      <c r="F61" s="156">
        <v>28380.7</v>
      </c>
      <c r="G61" s="120">
        <v>32878.9</v>
      </c>
      <c r="H61" s="120">
        <v>570912.10000000009</v>
      </c>
      <c r="I61" s="120">
        <v>4664.6000000000004</v>
      </c>
      <c r="J61" s="120">
        <v>2722.6</v>
      </c>
      <c r="K61" s="120">
        <v>448790.4</v>
      </c>
      <c r="L61" s="120">
        <v>53296.2</v>
      </c>
      <c r="M61" s="120">
        <v>2563</v>
      </c>
      <c r="N61" s="157">
        <v>2456.9</v>
      </c>
      <c r="O61" s="157">
        <v>35369</v>
      </c>
      <c r="P61" s="157">
        <v>21049.5</v>
      </c>
      <c r="Q61" s="87"/>
      <c r="R61" s="159"/>
      <c r="S61" s="87"/>
      <c r="T61" s="87"/>
      <c r="U61" s="87"/>
      <c r="V61" s="87"/>
      <c r="W61" s="87"/>
      <c r="X61" s="160"/>
      <c r="Y61" s="87"/>
      <c r="Z61" s="87"/>
      <c r="AA61" s="160"/>
      <c r="AB61" s="87"/>
      <c r="AC61" s="87"/>
    </row>
    <row r="62" spans="1:29">
      <c r="A62" s="122" t="s">
        <v>125</v>
      </c>
      <c r="B62" s="120">
        <v>43051.3</v>
      </c>
      <c r="C62" s="120">
        <v>20634.400000000001</v>
      </c>
      <c r="D62" s="120">
        <v>441007.30000000005</v>
      </c>
      <c r="E62" s="120">
        <v>27662.399999999998</v>
      </c>
      <c r="F62" s="156">
        <v>30485.8</v>
      </c>
      <c r="G62" s="120">
        <v>34137.600000000006</v>
      </c>
      <c r="H62" s="120">
        <v>596978.80000000016</v>
      </c>
      <c r="I62" s="120">
        <v>3591.3999999999996</v>
      </c>
      <c r="J62" s="120">
        <v>3718.2999999999997</v>
      </c>
      <c r="K62" s="120">
        <v>470926.2</v>
      </c>
      <c r="L62" s="120">
        <v>54071.199999999997</v>
      </c>
      <c r="M62" s="120">
        <v>2646.5</v>
      </c>
      <c r="N62" s="157">
        <v>2507.7000000000003</v>
      </c>
      <c r="O62" s="157">
        <v>37380.300000000003</v>
      </c>
      <c r="P62" s="157">
        <v>22137.199999999997</v>
      </c>
      <c r="Q62" s="87"/>
      <c r="R62" s="159"/>
      <c r="S62" s="87"/>
      <c r="T62" s="87"/>
      <c r="U62" s="87"/>
      <c r="V62" s="87"/>
      <c r="W62" s="87"/>
      <c r="X62" s="160"/>
      <c r="Y62" s="87"/>
      <c r="Z62" s="87"/>
      <c r="AA62" s="160"/>
      <c r="AB62" s="87"/>
      <c r="AC62" s="87"/>
    </row>
    <row r="63" spans="1:29">
      <c r="A63" s="161" t="s">
        <v>141</v>
      </c>
      <c r="B63" s="115">
        <v>43891.3</v>
      </c>
      <c r="C63" s="115">
        <v>22804.1</v>
      </c>
      <c r="D63" s="115">
        <v>458186.69999999995</v>
      </c>
      <c r="E63" s="115">
        <v>27246.7</v>
      </c>
      <c r="F63" s="163">
        <v>38844.5</v>
      </c>
      <c r="G63" s="115">
        <v>33152.5</v>
      </c>
      <c r="H63" s="115">
        <v>624125.79999999993</v>
      </c>
      <c r="I63" s="115">
        <v>4095.7999999999997</v>
      </c>
      <c r="J63" s="115">
        <v>3879.2000000000003</v>
      </c>
      <c r="K63" s="115">
        <v>495629.6</v>
      </c>
      <c r="L63" s="115">
        <v>55680.800000000003</v>
      </c>
      <c r="M63" s="115">
        <v>3018</v>
      </c>
      <c r="N63" s="164">
        <v>2506.3000000000002</v>
      </c>
      <c r="O63" s="164">
        <v>38179</v>
      </c>
      <c r="P63" s="164">
        <v>21137</v>
      </c>
      <c r="Q63" s="87"/>
      <c r="R63" s="159"/>
      <c r="S63" s="87"/>
      <c r="T63" s="87"/>
      <c r="U63" s="87"/>
      <c r="V63" s="87"/>
      <c r="W63" s="87"/>
      <c r="X63" s="160"/>
      <c r="Y63" s="87"/>
      <c r="Z63" s="87"/>
      <c r="AA63" s="160"/>
      <c r="AB63" s="87"/>
      <c r="AC63" s="87"/>
    </row>
    <row r="64" spans="1:29">
      <c r="A64" s="122" t="s">
        <v>132</v>
      </c>
      <c r="B64" s="120">
        <v>45991.3</v>
      </c>
      <c r="C64" s="120">
        <v>21388.2</v>
      </c>
      <c r="D64" s="120">
        <v>485703.1</v>
      </c>
      <c r="E64" s="120">
        <v>26571</v>
      </c>
      <c r="F64" s="156">
        <v>38735.199999999997</v>
      </c>
      <c r="G64" s="120">
        <v>31038.400000000001</v>
      </c>
      <c r="H64" s="120">
        <f>G64+F64+E64+D64+C64+B64</f>
        <v>649427.19999999995</v>
      </c>
      <c r="I64" s="120">
        <v>4052.5</v>
      </c>
      <c r="J64" s="120">
        <v>3451.3999999999996</v>
      </c>
      <c r="K64" s="120">
        <v>522770.19999999995</v>
      </c>
      <c r="L64" s="120">
        <v>51898.3</v>
      </c>
      <c r="M64" s="120">
        <v>4016.7000000000003</v>
      </c>
      <c r="N64" s="157">
        <v>2449.6</v>
      </c>
      <c r="O64" s="157">
        <v>39590.199999999997</v>
      </c>
      <c r="P64" s="157">
        <v>21198.3</v>
      </c>
      <c r="Q64" s="87"/>
      <c r="R64" s="159"/>
      <c r="S64" s="87"/>
      <c r="T64" s="87"/>
      <c r="U64" s="87"/>
      <c r="V64" s="87"/>
      <c r="W64" s="87"/>
      <c r="X64" s="160"/>
      <c r="Y64" s="87"/>
      <c r="Z64" s="87"/>
      <c r="AA64" s="160"/>
      <c r="AB64" s="87"/>
      <c r="AC64" s="87"/>
    </row>
    <row r="65" spans="1:29">
      <c r="A65" s="122" t="s">
        <v>134</v>
      </c>
      <c r="B65" s="120">
        <v>49331.6</v>
      </c>
      <c r="C65" s="120">
        <v>23169.3</v>
      </c>
      <c r="D65" s="120">
        <v>512376.60000000003</v>
      </c>
      <c r="E65" s="120">
        <v>28995</v>
      </c>
      <c r="F65" s="156">
        <v>34098.300000000003</v>
      </c>
      <c r="G65" s="120">
        <v>34280.5</v>
      </c>
      <c r="H65" s="120">
        <v>682251.3</v>
      </c>
      <c r="I65" s="120">
        <v>3892</v>
      </c>
      <c r="J65" s="120">
        <v>2265.2000000000003</v>
      </c>
      <c r="K65" s="120">
        <v>548714.4</v>
      </c>
      <c r="L65" s="120">
        <v>57655.7</v>
      </c>
      <c r="M65" s="120">
        <v>3757.9</v>
      </c>
      <c r="N65" s="157">
        <v>2586</v>
      </c>
      <c r="O65" s="157">
        <v>39442.300000000003</v>
      </c>
      <c r="P65" s="157">
        <v>23937.800000000003</v>
      </c>
      <c r="Q65" s="87"/>
      <c r="R65" s="159"/>
      <c r="S65" s="87"/>
      <c r="T65" s="87"/>
      <c r="U65" s="87"/>
      <c r="V65" s="87"/>
      <c r="W65" s="87"/>
      <c r="X65" s="160"/>
      <c r="Y65" s="87"/>
      <c r="Z65" s="87"/>
      <c r="AA65" s="160"/>
      <c r="AB65" s="87"/>
      <c r="AC65" s="87"/>
    </row>
    <row r="66" spans="1:29">
      <c r="A66" s="122" t="s">
        <v>135</v>
      </c>
      <c r="B66" s="120">
        <v>49608.5</v>
      </c>
      <c r="C66" s="120">
        <v>24042.1</v>
      </c>
      <c r="D66" s="120">
        <v>533262.79999999993</v>
      </c>
      <c r="E66" s="120">
        <v>30481.9</v>
      </c>
      <c r="F66" s="156">
        <v>36472.199999999997</v>
      </c>
      <c r="G66" s="120">
        <v>33079.899999999994</v>
      </c>
      <c r="H66" s="120">
        <v>706947.39999999991</v>
      </c>
      <c r="I66" s="120">
        <v>2853.4</v>
      </c>
      <c r="J66" s="120">
        <v>1642.8000000000002</v>
      </c>
      <c r="K66" s="120">
        <v>568121.20000000007</v>
      </c>
      <c r="L66" s="120">
        <v>57781.099999999991</v>
      </c>
      <c r="M66" s="120">
        <v>3131.6000000000004</v>
      </c>
      <c r="N66" s="157">
        <v>2633.1</v>
      </c>
      <c r="O66" s="157">
        <v>45237.299999999996</v>
      </c>
      <c r="P66" s="157">
        <v>25546.899999999998</v>
      </c>
      <c r="Q66" s="87"/>
      <c r="R66" s="159"/>
      <c r="S66" s="87"/>
      <c r="T66" s="87"/>
      <c r="U66" s="87"/>
      <c r="V66" s="87"/>
      <c r="W66" s="87"/>
      <c r="X66" s="160"/>
      <c r="Y66" s="87"/>
      <c r="Z66" s="87"/>
      <c r="AA66" s="160"/>
      <c r="AB66" s="87"/>
      <c r="AC66" s="87"/>
    </row>
    <row r="67" spans="1:29" s="87" customFormat="1">
      <c r="A67" s="161" t="s">
        <v>136</v>
      </c>
      <c r="B67" s="115">
        <v>53048.3</v>
      </c>
      <c r="C67" s="115">
        <v>25010.7</v>
      </c>
      <c r="D67" s="115">
        <v>503281.7</v>
      </c>
      <c r="E67" s="115">
        <v>31359.7</v>
      </c>
      <c r="F67" s="163">
        <v>36597.5</v>
      </c>
      <c r="G67" s="115">
        <v>31606.3</v>
      </c>
      <c r="H67" s="115">
        <v>680904.2</v>
      </c>
      <c r="I67" s="115">
        <v>6326.4</v>
      </c>
      <c r="J67" s="115">
        <v>1832.1</v>
      </c>
      <c r="K67" s="115">
        <v>543367.1</v>
      </c>
      <c r="L67" s="115">
        <v>59300.3</v>
      </c>
      <c r="M67" s="115">
        <v>2521</v>
      </c>
      <c r="N67" s="164">
        <v>2589.3000000000002</v>
      </c>
      <c r="O67" s="164">
        <v>40713</v>
      </c>
      <c r="P67" s="164">
        <v>24255.1</v>
      </c>
      <c r="R67" s="159"/>
      <c r="X67" s="160"/>
      <c r="AA67" s="160"/>
    </row>
    <row r="68" spans="1:29">
      <c r="A68" s="122" t="s">
        <v>137</v>
      </c>
      <c r="B68" s="120">
        <v>58099</v>
      </c>
      <c r="C68" s="120">
        <v>26443.699999999997</v>
      </c>
      <c r="D68" s="120">
        <v>29232.199999999997</v>
      </c>
      <c r="E68" s="120">
        <v>44292</v>
      </c>
      <c r="F68" s="156">
        <v>631120.80000000005</v>
      </c>
      <c r="G68" s="120">
        <v>61629.700000000004</v>
      </c>
      <c r="H68" s="120">
        <v>850817.39999999991</v>
      </c>
      <c r="I68" s="120">
        <v>8785.5</v>
      </c>
      <c r="J68" s="120">
        <v>2489.4</v>
      </c>
      <c r="K68" s="120">
        <v>580849.79999999993</v>
      </c>
      <c r="L68" s="120">
        <v>74908.5</v>
      </c>
      <c r="M68" s="120">
        <v>3619.8999999999996</v>
      </c>
      <c r="N68" s="157">
        <v>3737.6</v>
      </c>
      <c r="O68" s="157">
        <v>125196.90000000001</v>
      </c>
      <c r="P68" s="157">
        <v>51230</v>
      </c>
      <c r="Q68" s="87"/>
      <c r="R68" s="159"/>
      <c r="S68" s="87"/>
      <c r="T68" s="87"/>
      <c r="U68" s="87"/>
      <c r="V68" s="87"/>
      <c r="W68" s="87"/>
      <c r="X68" s="160"/>
      <c r="Y68" s="87"/>
      <c r="Z68" s="87"/>
      <c r="AA68" s="160"/>
      <c r="AB68" s="87"/>
      <c r="AC68" s="87"/>
    </row>
    <row r="69" spans="1:29">
      <c r="A69" s="122" t="s">
        <v>142</v>
      </c>
      <c r="B69" s="120">
        <v>56780.109199999992</v>
      </c>
      <c r="C69" s="120">
        <v>28194.753019110001</v>
      </c>
      <c r="D69" s="120">
        <v>19736.2778</v>
      </c>
      <c r="E69" s="120">
        <v>22886.552599999999</v>
      </c>
      <c r="F69" s="156">
        <v>670930.65729999996</v>
      </c>
      <c r="G69" s="120">
        <v>75146.220969999995</v>
      </c>
      <c r="H69" s="120">
        <v>873674.57088910998</v>
      </c>
      <c r="I69" s="120">
        <v>8325.9798059200002</v>
      </c>
      <c r="J69" s="120">
        <v>3060.3346999999999</v>
      </c>
      <c r="K69" s="120">
        <v>698345.48510000005</v>
      </c>
      <c r="L69" s="120">
        <v>61766.423699999999</v>
      </c>
      <c r="M69" s="120">
        <v>5451.1443829999998</v>
      </c>
      <c r="N69" s="157">
        <v>4096.1995280000001</v>
      </c>
      <c r="O69" s="157">
        <v>35324.434990000002</v>
      </c>
      <c r="P69" s="157">
        <v>57304.568579999999</v>
      </c>
      <c r="Q69" s="87"/>
      <c r="R69" s="159"/>
      <c r="S69" s="87"/>
      <c r="T69" s="87"/>
      <c r="U69" s="87"/>
      <c r="V69" s="87"/>
      <c r="W69" s="87"/>
      <c r="X69" s="160"/>
      <c r="Y69" s="87"/>
      <c r="Z69" s="87"/>
      <c r="AA69" s="160"/>
      <c r="AB69" s="87"/>
      <c r="AC69" s="87"/>
    </row>
    <row r="70" spans="1:29">
      <c r="A70" s="122" t="s">
        <v>143</v>
      </c>
      <c r="B70" s="120">
        <v>57607.6</v>
      </c>
      <c r="C70" s="120">
        <v>27905.4</v>
      </c>
      <c r="D70" s="120">
        <v>34405.4</v>
      </c>
      <c r="E70" s="120">
        <v>48696.9</v>
      </c>
      <c r="F70" s="156">
        <v>683187.5</v>
      </c>
      <c r="G70" s="120">
        <v>60468.7</v>
      </c>
      <c r="H70" s="120">
        <v>912271.5</v>
      </c>
      <c r="I70" s="120">
        <v>9186.4</v>
      </c>
      <c r="J70" s="120">
        <v>3687.3</v>
      </c>
      <c r="K70" s="120">
        <v>724407.5</v>
      </c>
      <c r="L70" s="120">
        <v>78648.100000000006</v>
      </c>
      <c r="M70" s="120">
        <v>6256.7</v>
      </c>
      <c r="N70" s="157">
        <v>4723.5</v>
      </c>
      <c r="O70" s="157">
        <v>35349.9</v>
      </c>
      <c r="P70" s="157">
        <v>50011.8</v>
      </c>
      <c r="Q70" s="87"/>
      <c r="R70" s="159"/>
      <c r="S70" s="87"/>
      <c r="T70" s="87"/>
      <c r="U70" s="87"/>
      <c r="V70" s="87"/>
      <c r="W70" s="87"/>
      <c r="X70" s="160"/>
      <c r="Y70" s="87"/>
      <c r="Z70" s="87"/>
      <c r="AA70" s="160"/>
      <c r="AB70" s="87"/>
      <c r="AC70" s="87"/>
    </row>
    <row r="71" spans="1:29" s="87" customFormat="1">
      <c r="A71" s="161" t="s">
        <v>144</v>
      </c>
      <c r="B71" s="115">
        <v>60080.120685000002</v>
      </c>
      <c r="C71" s="115">
        <v>27799.874687000003</v>
      </c>
      <c r="D71" s="115">
        <v>31670.523088080005</v>
      </c>
      <c r="E71" s="115">
        <v>51176.545960710006</v>
      </c>
      <c r="F71" s="163">
        <v>711526.51988961012</v>
      </c>
      <c r="G71" s="115">
        <v>56980.08435219001</v>
      </c>
      <c r="H71" s="115">
        <v>939233.66866259009</v>
      </c>
      <c r="I71" s="115">
        <v>20101.063809720003</v>
      </c>
      <c r="J71" s="115">
        <v>2803.5278999900002</v>
      </c>
      <c r="K71" s="115">
        <v>743782.14399090013</v>
      </c>
      <c r="L71" s="115">
        <v>81816.504889930016</v>
      </c>
      <c r="M71" s="115">
        <v>6890.7833011299999</v>
      </c>
      <c r="N71" s="164">
        <v>4986.4929813100007</v>
      </c>
      <c r="O71" s="164">
        <v>32503.17256087</v>
      </c>
      <c r="P71" s="164">
        <v>46349.979227869997</v>
      </c>
      <c r="R71" s="159"/>
      <c r="X71" s="160"/>
      <c r="AA71" s="160"/>
    </row>
    <row r="72" spans="1:29">
      <c r="A72" s="165"/>
      <c r="B72" s="166"/>
      <c r="C72" s="166"/>
      <c r="D72" s="166"/>
      <c r="E72" s="166"/>
      <c r="F72" s="167"/>
      <c r="G72" s="166"/>
      <c r="H72" s="166"/>
      <c r="I72" s="166"/>
      <c r="J72" s="166"/>
      <c r="K72" s="166"/>
      <c r="L72" s="166"/>
      <c r="M72" s="166"/>
      <c r="N72" s="121"/>
      <c r="O72" s="121"/>
      <c r="P72" s="121"/>
      <c r="Q72" s="87"/>
      <c r="R72" s="159"/>
      <c r="S72" s="87"/>
      <c r="T72" s="87"/>
      <c r="U72" s="87"/>
      <c r="V72" s="87"/>
      <c r="W72" s="87"/>
      <c r="X72" s="160"/>
      <c r="Y72" s="87"/>
      <c r="Z72" s="87"/>
      <c r="AA72" s="160"/>
      <c r="AB72" s="87"/>
      <c r="AC72" s="87"/>
    </row>
    <row r="73" spans="1:29">
      <c r="A73" s="75" t="s">
        <v>120</v>
      </c>
    </row>
    <row r="74" spans="1:29">
      <c r="A74" s="124" t="s">
        <v>133</v>
      </c>
    </row>
  </sheetData>
  <mergeCells count="22">
    <mergeCell ref="Z5:Z6"/>
    <mergeCell ref="AA5:AA6"/>
    <mergeCell ref="Y4:AA4"/>
    <mergeCell ref="AB4:AB6"/>
    <mergeCell ref="B5:C6"/>
    <mergeCell ref="D5:E6"/>
    <mergeCell ref="F5:G6"/>
    <mergeCell ref="I5:J6"/>
    <mergeCell ref="K5:L6"/>
    <mergeCell ref="M5:N6"/>
    <mergeCell ref="O5:P6"/>
    <mergeCell ref="T5:T6"/>
    <mergeCell ref="S4:X4"/>
    <mergeCell ref="U5:U6"/>
    <mergeCell ref="V5:V6"/>
    <mergeCell ref="W5:W6"/>
    <mergeCell ref="X5:X6"/>
    <mergeCell ref="A4:A7"/>
    <mergeCell ref="B4:G4"/>
    <mergeCell ref="I4:P4"/>
    <mergeCell ref="Q4:Q6"/>
    <mergeCell ref="R4:R6"/>
  </mergeCells>
  <printOptions horizontalCentered="1"/>
  <pageMargins left="0.511811023622047" right="0.511811023622047" top="0.90551181102361999" bottom="0" header="0.511811023622047" footer="0.196850393700787"/>
  <pageSetup paperSize="9" firstPageNumber="55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EPF</vt:lpstr>
      <vt:lpstr>CIT</vt:lpstr>
      <vt:lpstr>Insurance Companies</vt:lpstr>
      <vt:lpstr>CIT!Print_Area</vt:lpstr>
      <vt:lpstr>EPF!Print_Area</vt:lpstr>
      <vt:lpstr>'Insurance Companies'!Print_Area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BINOD</cp:lastModifiedBy>
  <dcterms:created xsi:type="dcterms:W3CDTF">2022-03-02T05:21:38Z</dcterms:created>
  <dcterms:modified xsi:type="dcterms:W3CDTF">2024-09-23T07:23:15Z</dcterms:modified>
</cp:coreProperties>
</file>