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conomic Research Department\03. Government Finance Division\26. EAD Data Update\Monthly\"/>
    </mc:Choice>
  </mc:AlternateContent>
  <bookViews>
    <workbookView xWindow="0" yWindow="0" windowWidth="2004" windowHeight="0" firstSheet="20" activeTab="21"/>
  </bookViews>
  <sheets>
    <sheet name="ODD 1997-98" sheetId="1" r:id="rId1"/>
    <sheet name="ODD 1998-99" sheetId="2" r:id="rId2"/>
    <sheet name="ODD 1999-00" sheetId="3" r:id="rId3"/>
    <sheet name="ODD 2000-01" sheetId="4" r:id="rId4"/>
    <sheet name="ODD 2001-02" sheetId="5" r:id="rId5"/>
    <sheet name="ODD 2002-03" sheetId="6" r:id="rId6"/>
    <sheet name="ODD 2003-04" sheetId="7" r:id="rId7"/>
    <sheet name="ODD 2004-05" sheetId="8" r:id="rId8"/>
    <sheet name="ODD 2005-06" sheetId="9" r:id="rId9"/>
    <sheet name="ODD 2006-07 to 2010-11" sheetId="10" r:id="rId10"/>
    <sheet name="ODD 2011-12 to 2012-13" sheetId="11" r:id="rId11"/>
    <sheet name="ODD 2013-14 to 2014-15" sheetId="12" r:id="rId12"/>
    <sheet name="ODD 2015-16" sheetId="13" r:id="rId13"/>
    <sheet name="ODD 2016-17" sheetId="15" r:id="rId14"/>
    <sheet name="ODD 2017-18" sheetId="16" r:id="rId15"/>
    <sheet name="ODD 2018-19" sheetId="17" r:id="rId16"/>
    <sheet name="ODD 2019-20" sheetId="18" r:id="rId17"/>
    <sheet name="ODD 2020-21" sheetId="20" r:id="rId18"/>
    <sheet name="ODD 2021-22" sheetId="21" r:id="rId19"/>
    <sheet name="ODD 2022-23" sheetId="22" r:id="rId20"/>
    <sheet name="ODD 2023-24" sheetId="23" r:id="rId21"/>
    <sheet name="ODD 2024-25" sheetId="24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1" l="1"/>
  <c r="D7" i="21"/>
  <c r="E7" i="21"/>
  <c r="F7" i="21"/>
  <c r="F38" i="21" s="1"/>
  <c r="G7" i="21"/>
  <c r="H7" i="21"/>
  <c r="I7" i="21"/>
  <c r="J7" i="21"/>
  <c r="J38" i="21" s="1"/>
  <c r="K7" i="21"/>
  <c r="L7" i="21"/>
  <c r="M7" i="21"/>
  <c r="N7" i="21"/>
  <c r="N38" i="21" s="1"/>
  <c r="C13" i="21"/>
  <c r="D13" i="21"/>
  <c r="E13" i="21"/>
  <c r="F13" i="21"/>
  <c r="G13" i="21"/>
  <c r="H13" i="21"/>
  <c r="I13" i="21"/>
  <c r="J13" i="21"/>
  <c r="K13" i="21"/>
  <c r="L13" i="21"/>
  <c r="M13" i="21"/>
  <c r="N13" i="21"/>
  <c r="C19" i="21"/>
  <c r="D19" i="21"/>
  <c r="E19" i="21"/>
  <c r="F19" i="21"/>
  <c r="G19" i="21"/>
  <c r="H19" i="21"/>
  <c r="I19" i="21"/>
  <c r="J19" i="21"/>
  <c r="K19" i="21"/>
  <c r="L19" i="21"/>
  <c r="M19" i="21"/>
  <c r="N19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C34" i="21"/>
  <c r="D34" i="21"/>
  <c r="E34" i="21"/>
  <c r="F34" i="21"/>
  <c r="G34" i="21"/>
  <c r="H34" i="21"/>
  <c r="I34" i="21"/>
  <c r="J34" i="21"/>
  <c r="K34" i="21"/>
  <c r="C38" i="21"/>
  <c r="D38" i="21"/>
  <c r="E38" i="21"/>
  <c r="G38" i="21"/>
  <c r="H38" i="21"/>
  <c r="I38" i="21"/>
  <c r="K38" i="21"/>
  <c r="L38" i="21"/>
  <c r="M38" i="21"/>
  <c r="C39" i="21"/>
  <c r="D39" i="21"/>
  <c r="E39" i="21"/>
  <c r="F39" i="21"/>
  <c r="G39" i="21"/>
  <c r="H39" i="21"/>
  <c r="I39" i="21"/>
  <c r="J39" i="21"/>
  <c r="K39" i="21"/>
  <c r="L39" i="21"/>
  <c r="M39" i="21"/>
  <c r="N39" i="21"/>
  <c r="C42" i="21"/>
  <c r="C41" i="21" s="1"/>
  <c r="C47" i="21" s="1"/>
  <c r="D42" i="21"/>
  <c r="D41" i="21" s="1"/>
  <c r="D47" i="21" s="1"/>
  <c r="E42" i="21"/>
  <c r="E41" i="21" s="1"/>
  <c r="E47" i="21" s="1"/>
  <c r="F42" i="21"/>
  <c r="F41" i="21" s="1"/>
  <c r="F47" i="21" s="1"/>
  <c r="G42" i="21"/>
  <c r="G41" i="21" s="1"/>
  <c r="G47" i="21" s="1"/>
  <c r="H42" i="21"/>
  <c r="H41" i="21" s="1"/>
  <c r="H47" i="21" s="1"/>
  <c r="I42" i="21"/>
  <c r="I41" i="21" s="1"/>
  <c r="I47" i="21" s="1"/>
  <c r="J42" i="21"/>
  <c r="J41" i="21" s="1"/>
  <c r="J47" i="21" s="1"/>
  <c r="K42" i="21"/>
  <c r="K41" i="21" s="1"/>
  <c r="K47" i="21" s="1"/>
  <c r="L42" i="21"/>
  <c r="L41" i="21" s="1"/>
  <c r="L47" i="21" s="1"/>
  <c r="M42" i="21"/>
  <c r="M41" i="21" s="1"/>
  <c r="M47" i="21" s="1"/>
  <c r="N42" i="21"/>
  <c r="N41" i="21" s="1"/>
  <c r="N47" i="21" s="1"/>
  <c r="C43" i="21"/>
  <c r="D43" i="21"/>
  <c r="E43" i="21"/>
  <c r="F43" i="21"/>
  <c r="G43" i="21"/>
  <c r="H43" i="21"/>
  <c r="I43" i="21"/>
  <c r="J43" i="21"/>
  <c r="K43" i="21"/>
  <c r="L43" i="21"/>
  <c r="M43" i="21"/>
  <c r="N43" i="21"/>
  <c r="C44" i="21"/>
  <c r="D44" i="21"/>
  <c r="E44" i="21"/>
  <c r="F44" i="21"/>
  <c r="G44" i="21"/>
  <c r="H44" i="21"/>
  <c r="I44" i="21"/>
  <c r="J44" i="21"/>
  <c r="K44" i="21"/>
  <c r="L44" i="21"/>
  <c r="M44" i="21"/>
  <c r="N44" i="21"/>
  <c r="C45" i="21"/>
  <c r="D45" i="21"/>
  <c r="E45" i="21"/>
  <c r="F45" i="21"/>
  <c r="G45" i="21"/>
  <c r="H45" i="21"/>
  <c r="I45" i="21"/>
  <c r="J45" i="21"/>
  <c r="K45" i="21"/>
  <c r="L45" i="21"/>
  <c r="M45" i="21"/>
  <c r="N45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C7" i="20"/>
  <c r="D7" i="20"/>
  <c r="D38" i="20" s="1"/>
  <c r="E7" i="20"/>
  <c r="F7" i="20"/>
  <c r="F38" i="20" s="1"/>
  <c r="G7" i="20"/>
  <c r="H7" i="20"/>
  <c r="H38" i="20" s="1"/>
  <c r="I7" i="20"/>
  <c r="J7" i="20"/>
  <c r="J38" i="20" s="1"/>
  <c r="K7" i="20"/>
  <c r="L7" i="20"/>
  <c r="L38" i="20" s="1"/>
  <c r="M7" i="20"/>
  <c r="N7" i="20"/>
  <c r="N38" i="20" s="1"/>
  <c r="C13" i="20"/>
  <c r="D13" i="20"/>
  <c r="E13" i="20"/>
  <c r="F13" i="20"/>
  <c r="G13" i="20"/>
  <c r="H13" i="20"/>
  <c r="I13" i="20"/>
  <c r="J13" i="20"/>
  <c r="K13" i="20"/>
  <c r="L13" i="20"/>
  <c r="M13" i="20"/>
  <c r="N13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C25" i="20"/>
  <c r="D25" i="20"/>
  <c r="E25" i="20"/>
  <c r="F25" i="20"/>
  <c r="G25" i="20"/>
  <c r="H25" i="20"/>
  <c r="I25" i="20"/>
  <c r="J25" i="20"/>
  <c r="K25" i="20"/>
  <c r="L25" i="20"/>
  <c r="M25" i="20"/>
  <c r="N25" i="20"/>
  <c r="C31" i="20"/>
  <c r="D31" i="20"/>
  <c r="E31" i="20"/>
  <c r="F31" i="20"/>
  <c r="G31" i="20"/>
  <c r="H31" i="20"/>
  <c r="I31" i="20"/>
  <c r="J31" i="20"/>
  <c r="K31" i="20"/>
  <c r="L31" i="20"/>
  <c r="M31" i="20"/>
  <c r="N31" i="20"/>
  <c r="C34" i="20"/>
  <c r="D34" i="20"/>
  <c r="E34" i="20"/>
  <c r="F34" i="20"/>
  <c r="G34" i="20"/>
  <c r="H34" i="20"/>
  <c r="I34" i="20"/>
  <c r="J34" i="20"/>
  <c r="K34" i="20"/>
  <c r="C38" i="20"/>
  <c r="E38" i="20"/>
  <c r="G38" i="20"/>
  <c r="I38" i="20"/>
  <c r="K38" i="20"/>
  <c r="M38" i="20"/>
  <c r="C39" i="20"/>
  <c r="D39" i="20"/>
  <c r="E39" i="20"/>
  <c r="F39" i="20"/>
  <c r="G39" i="20"/>
  <c r="H39" i="20"/>
  <c r="I39" i="20"/>
  <c r="J39" i="20"/>
  <c r="K39" i="20"/>
  <c r="L39" i="20"/>
  <c r="M39" i="20"/>
  <c r="N39" i="20"/>
  <c r="C42" i="20"/>
  <c r="C41" i="20" s="1"/>
  <c r="C47" i="20" s="1"/>
  <c r="D42" i="20"/>
  <c r="D41" i="20" s="1"/>
  <c r="D47" i="20" s="1"/>
  <c r="E42" i="20"/>
  <c r="E41" i="20" s="1"/>
  <c r="E47" i="20" s="1"/>
  <c r="F42" i="20"/>
  <c r="F41" i="20" s="1"/>
  <c r="F47" i="20" s="1"/>
  <c r="G42" i="20"/>
  <c r="G41" i="20" s="1"/>
  <c r="G47" i="20" s="1"/>
  <c r="H42" i="20"/>
  <c r="H41" i="20" s="1"/>
  <c r="H47" i="20" s="1"/>
  <c r="I42" i="20"/>
  <c r="I41" i="20" s="1"/>
  <c r="I47" i="20" s="1"/>
  <c r="J42" i="20"/>
  <c r="J41" i="20" s="1"/>
  <c r="J47" i="20" s="1"/>
  <c r="K42" i="20"/>
  <c r="K41" i="20" s="1"/>
  <c r="K47" i="20" s="1"/>
  <c r="L42" i="20"/>
  <c r="L41" i="20" s="1"/>
  <c r="L47" i="20" s="1"/>
  <c r="M42" i="20"/>
  <c r="M41" i="20" s="1"/>
  <c r="M47" i="20" s="1"/>
  <c r="N42" i="20"/>
  <c r="N41" i="20" s="1"/>
  <c r="N47" i="20" s="1"/>
  <c r="C43" i="20"/>
  <c r="D43" i="20"/>
  <c r="E43" i="20"/>
  <c r="F43" i="20"/>
  <c r="G43" i="20"/>
  <c r="H43" i="20"/>
  <c r="I43" i="20"/>
  <c r="J43" i="20"/>
  <c r="K43" i="20"/>
  <c r="L43" i="20"/>
  <c r="M43" i="20"/>
  <c r="N43" i="20"/>
  <c r="C44" i="20"/>
  <c r="D44" i="20"/>
  <c r="E44" i="20"/>
  <c r="F44" i="20"/>
  <c r="G44" i="20"/>
  <c r="H44" i="20"/>
  <c r="I44" i="20"/>
  <c r="J44" i="20"/>
  <c r="K44" i="20"/>
  <c r="L44" i="20"/>
  <c r="M44" i="20"/>
  <c r="N44" i="20"/>
  <c r="C45" i="20"/>
  <c r="D45" i="20"/>
  <c r="E45" i="20"/>
  <c r="F45" i="20"/>
  <c r="G45" i="20"/>
  <c r="H45" i="20"/>
  <c r="I45" i="20"/>
  <c r="J45" i="20"/>
  <c r="K45" i="20"/>
  <c r="L45" i="20"/>
  <c r="M45" i="20"/>
  <c r="N45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C7" i="18"/>
  <c r="D7" i="18"/>
  <c r="E7" i="18"/>
  <c r="F7" i="18"/>
  <c r="F38" i="18" s="1"/>
  <c r="G7" i="18"/>
  <c r="H7" i="18"/>
  <c r="I7" i="18"/>
  <c r="J7" i="18"/>
  <c r="J38" i="18" s="1"/>
  <c r="K7" i="18"/>
  <c r="L7" i="18"/>
  <c r="M7" i="18"/>
  <c r="N7" i="18"/>
  <c r="N38" i="18" s="1"/>
  <c r="C13" i="18"/>
  <c r="D13" i="18"/>
  <c r="E13" i="18"/>
  <c r="F13" i="18"/>
  <c r="G13" i="18"/>
  <c r="H13" i="18"/>
  <c r="I13" i="18"/>
  <c r="J13" i="18"/>
  <c r="K13" i="18"/>
  <c r="L13" i="18"/>
  <c r="M13" i="18"/>
  <c r="N13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C34" i="18"/>
  <c r="D34" i="18"/>
  <c r="E34" i="18"/>
  <c r="F34" i="18"/>
  <c r="G34" i="18"/>
  <c r="H34" i="18"/>
  <c r="I34" i="18"/>
  <c r="J34" i="18"/>
  <c r="K34" i="18"/>
  <c r="C38" i="18"/>
  <c r="D38" i="18"/>
  <c r="E38" i="18"/>
  <c r="G38" i="18"/>
  <c r="H38" i="18"/>
  <c r="I38" i="18"/>
  <c r="K38" i="18"/>
  <c r="L38" i="18"/>
  <c r="M38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C42" i="18"/>
  <c r="C41" i="18" s="1"/>
  <c r="C47" i="18" s="1"/>
  <c r="D42" i="18"/>
  <c r="D41" i="18" s="1"/>
  <c r="D47" i="18" s="1"/>
  <c r="E42" i="18"/>
  <c r="E41" i="18" s="1"/>
  <c r="E47" i="18" s="1"/>
  <c r="F42" i="18"/>
  <c r="F41" i="18" s="1"/>
  <c r="F47" i="18" s="1"/>
  <c r="G42" i="18"/>
  <c r="G41" i="18" s="1"/>
  <c r="G47" i="18" s="1"/>
  <c r="H42" i="18"/>
  <c r="H41" i="18" s="1"/>
  <c r="H47" i="18" s="1"/>
  <c r="I42" i="18"/>
  <c r="I41" i="18" s="1"/>
  <c r="I47" i="18" s="1"/>
  <c r="J42" i="18"/>
  <c r="J41" i="18" s="1"/>
  <c r="J47" i="18" s="1"/>
  <c r="K42" i="18"/>
  <c r="K41" i="18" s="1"/>
  <c r="K47" i="18" s="1"/>
  <c r="L42" i="18"/>
  <c r="L41" i="18" s="1"/>
  <c r="L47" i="18" s="1"/>
  <c r="M42" i="18"/>
  <c r="M41" i="18" s="1"/>
  <c r="M47" i="18" s="1"/>
  <c r="N42" i="18"/>
  <c r="N41" i="18" s="1"/>
  <c r="N47" i="18" s="1"/>
  <c r="C43" i="18"/>
  <c r="D43" i="18"/>
  <c r="E43" i="18"/>
  <c r="F43" i="18"/>
  <c r="G43" i="18"/>
  <c r="H43" i="18"/>
  <c r="I43" i="18"/>
  <c r="J43" i="18"/>
  <c r="K43" i="18"/>
  <c r="L43" i="18"/>
  <c r="M43" i="18"/>
  <c r="N43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C7" i="17"/>
  <c r="D7" i="17"/>
  <c r="D38" i="17" s="1"/>
  <c r="E7" i="17"/>
  <c r="F7" i="17"/>
  <c r="F38" i="17" s="1"/>
  <c r="G7" i="17"/>
  <c r="H7" i="17"/>
  <c r="H38" i="17" s="1"/>
  <c r="I7" i="17"/>
  <c r="J7" i="17"/>
  <c r="J38" i="17" s="1"/>
  <c r="K7" i="17"/>
  <c r="L7" i="17"/>
  <c r="L38" i="17" s="1"/>
  <c r="M7" i="17"/>
  <c r="N7" i="17"/>
  <c r="N38" i="17" s="1"/>
  <c r="C13" i="17"/>
  <c r="D13" i="17"/>
  <c r="E13" i="17"/>
  <c r="F13" i="17"/>
  <c r="G13" i="17"/>
  <c r="H13" i="17"/>
  <c r="I13" i="17"/>
  <c r="J13" i="17"/>
  <c r="K13" i="17"/>
  <c r="L13" i="17"/>
  <c r="M13" i="17"/>
  <c r="N13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C34" i="17"/>
  <c r="D34" i="17"/>
  <c r="E34" i="17"/>
  <c r="F34" i="17"/>
  <c r="G34" i="17"/>
  <c r="H34" i="17"/>
  <c r="I34" i="17"/>
  <c r="J34" i="17"/>
  <c r="K34" i="17"/>
  <c r="C38" i="17"/>
  <c r="E38" i="17"/>
  <c r="G38" i="17"/>
  <c r="I38" i="17"/>
  <c r="K38" i="17"/>
  <c r="M38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C42" i="17"/>
  <c r="C41" i="17" s="1"/>
  <c r="C47" i="17" s="1"/>
  <c r="D42" i="17"/>
  <c r="D41" i="17" s="1"/>
  <c r="D47" i="17" s="1"/>
  <c r="E42" i="17"/>
  <c r="E41" i="17" s="1"/>
  <c r="E47" i="17" s="1"/>
  <c r="F42" i="17"/>
  <c r="F41" i="17" s="1"/>
  <c r="F47" i="17" s="1"/>
  <c r="G42" i="17"/>
  <c r="G41" i="17" s="1"/>
  <c r="G47" i="17" s="1"/>
  <c r="H42" i="17"/>
  <c r="H41" i="17" s="1"/>
  <c r="H47" i="17" s="1"/>
  <c r="I42" i="17"/>
  <c r="I41" i="17" s="1"/>
  <c r="I47" i="17" s="1"/>
  <c r="J42" i="17"/>
  <c r="J41" i="17" s="1"/>
  <c r="J47" i="17" s="1"/>
  <c r="K42" i="17"/>
  <c r="K41" i="17" s="1"/>
  <c r="K47" i="17" s="1"/>
  <c r="L42" i="17"/>
  <c r="L41" i="17" s="1"/>
  <c r="L47" i="17" s="1"/>
  <c r="M42" i="17"/>
  <c r="M41" i="17" s="1"/>
  <c r="M47" i="17" s="1"/>
  <c r="N42" i="17"/>
  <c r="N41" i="17" s="1"/>
  <c r="N47" i="17" s="1"/>
  <c r="C43" i="17"/>
  <c r="D43" i="17"/>
  <c r="E43" i="17"/>
  <c r="F43" i="17"/>
  <c r="G43" i="17"/>
  <c r="H43" i="17"/>
  <c r="I43" i="17"/>
  <c r="J43" i="17"/>
  <c r="K43" i="17"/>
  <c r="L43" i="17"/>
  <c r="M43" i="17"/>
  <c r="N43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C7" i="16"/>
  <c r="D7" i="16"/>
  <c r="E7" i="16"/>
  <c r="F7" i="16"/>
  <c r="G7" i="16"/>
  <c r="H7" i="16"/>
  <c r="I7" i="16"/>
  <c r="J7" i="16"/>
  <c r="J38" i="16" s="1"/>
  <c r="K7" i="16"/>
  <c r="L7" i="16"/>
  <c r="M7" i="16"/>
  <c r="N7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C31" i="16"/>
  <c r="D31" i="16"/>
  <c r="E31" i="16"/>
  <c r="F31" i="16"/>
  <c r="H31" i="16"/>
  <c r="H38" i="16" s="1"/>
  <c r="I31" i="16"/>
  <c r="J31" i="16"/>
  <c r="K31" i="16"/>
  <c r="K38" i="16" s="1"/>
  <c r="L31" i="16"/>
  <c r="L38" i="16" s="1"/>
  <c r="M31" i="16"/>
  <c r="N31" i="16"/>
  <c r="C34" i="16"/>
  <c r="D34" i="16"/>
  <c r="E34" i="16"/>
  <c r="F34" i="16"/>
  <c r="G34" i="16"/>
  <c r="H34" i="16"/>
  <c r="I34" i="16"/>
  <c r="J34" i="16"/>
  <c r="K34" i="16"/>
  <c r="C38" i="16"/>
  <c r="D38" i="16"/>
  <c r="E38" i="16"/>
  <c r="F38" i="16"/>
  <c r="G38" i="16"/>
  <c r="I38" i="16"/>
  <c r="M38" i="16"/>
  <c r="N38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C42" i="16"/>
  <c r="C41" i="16" s="1"/>
  <c r="C47" i="16" s="1"/>
  <c r="D42" i="16"/>
  <c r="D41" i="16" s="1"/>
  <c r="D47" i="16" s="1"/>
  <c r="E42" i="16"/>
  <c r="E41" i="16" s="1"/>
  <c r="E47" i="16" s="1"/>
  <c r="F42" i="16"/>
  <c r="F41" i="16" s="1"/>
  <c r="F47" i="16" s="1"/>
  <c r="G42" i="16"/>
  <c r="G41" i="16" s="1"/>
  <c r="G47" i="16" s="1"/>
  <c r="H42" i="16"/>
  <c r="H41" i="16" s="1"/>
  <c r="H47" i="16" s="1"/>
  <c r="I42" i="16"/>
  <c r="I41" i="16" s="1"/>
  <c r="I47" i="16" s="1"/>
  <c r="J42" i="16"/>
  <c r="J41" i="16" s="1"/>
  <c r="J47" i="16" s="1"/>
  <c r="K42" i="16"/>
  <c r="K41" i="16" s="1"/>
  <c r="K47" i="16" s="1"/>
  <c r="L42" i="16"/>
  <c r="L41" i="16" s="1"/>
  <c r="L47" i="16" s="1"/>
  <c r="M42" i="16"/>
  <c r="M41" i="16" s="1"/>
  <c r="M47" i="16" s="1"/>
  <c r="N42" i="16"/>
  <c r="N41" i="16" s="1"/>
  <c r="N47" i="16" s="1"/>
  <c r="C43" i="16"/>
  <c r="D43" i="16"/>
  <c r="E43" i="16"/>
  <c r="F43" i="16"/>
  <c r="G43" i="16"/>
  <c r="H43" i="16"/>
  <c r="I43" i="16"/>
  <c r="J43" i="16"/>
  <c r="K43" i="16"/>
  <c r="L43" i="16"/>
  <c r="M43" i="16"/>
  <c r="N43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C7" i="15"/>
  <c r="D7" i="15"/>
  <c r="E7" i="15"/>
  <c r="F7" i="15"/>
  <c r="F38" i="15" s="1"/>
  <c r="G7" i="15"/>
  <c r="H7" i="15"/>
  <c r="I7" i="15"/>
  <c r="J7" i="15"/>
  <c r="J38" i="15" s="1"/>
  <c r="K7" i="15"/>
  <c r="L7" i="15"/>
  <c r="M7" i="15"/>
  <c r="N7" i="15"/>
  <c r="N38" i="15" s="1"/>
  <c r="C13" i="15"/>
  <c r="D13" i="15"/>
  <c r="E13" i="15"/>
  <c r="F13" i="15"/>
  <c r="G13" i="15"/>
  <c r="H13" i="15"/>
  <c r="I13" i="15"/>
  <c r="J13" i="15"/>
  <c r="K13" i="15"/>
  <c r="L13" i="15"/>
  <c r="M13" i="15"/>
  <c r="N13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J30" i="15"/>
  <c r="C31" i="15"/>
  <c r="D31" i="15"/>
  <c r="E31" i="15"/>
  <c r="E38" i="15" s="1"/>
  <c r="F31" i="15"/>
  <c r="G31" i="15"/>
  <c r="H31" i="15"/>
  <c r="I31" i="15"/>
  <c r="I38" i="15" s="1"/>
  <c r="J31" i="15"/>
  <c r="K31" i="15"/>
  <c r="L31" i="15"/>
  <c r="M31" i="15"/>
  <c r="M38" i="15" s="1"/>
  <c r="N31" i="15"/>
  <c r="C34" i="15"/>
  <c r="D34" i="15"/>
  <c r="E34" i="15"/>
  <c r="F34" i="15"/>
  <c r="G34" i="15"/>
  <c r="H34" i="15"/>
  <c r="I34" i="15"/>
  <c r="J34" i="15"/>
  <c r="K34" i="15"/>
  <c r="C38" i="15"/>
  <c r="D38" i="15"/>
  <c r="G38" i="15"/>
  <c r="H38" i="15"/>
  <c r="K38" i="15"/>
  <c r="L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C42" i="15"/>
  <c r="C41" i="15" s="1"/>
  <c r="C47" i="15" s="1"/>
  <c r="D42" i="15"/>
  <c r="D41" i="15" s="1"/>
  <c r="D47" i="15" s="1"/>
  <c r="E42" i="15"/>
  <c r="E41" i="15" s="1"/>
  <c r="E47" i="15" s="1"/>
  <c r="F42" i="15"/>
  <c r="F41" i="15" s="1"/>
  <c r="F47" i="15" s="1"/>
  <c r="G42" i="15"/>
  <c r="G41" i="15" s="1"/>
  <c r="G47" i="15" s="1"/>
  <c r="H42" i="15"/>
  <c r="H41" i="15" s="1"/>
  <c r="H47" i="15" s="1"/>
  <c r="I42" i="15"/>
  <c r="I41" i="15" s="1"/>
  <c r="I47" i="15" s="1"/>
  <c r="J42" i="15"/>
  <c r="J41" i="15" s="1"/>
  <c r="J47" i="15" s="1"/>
  <c r="K42" i="15"/>
  <c r="K41" i="15" s="1"/>
  <c r="K47" i="15" s="1"/>
  <c r="L42" i="15"/>
  <c r="L41" i="15" s="1"/>
  <c r="L47" i="15" s="1"/>
  <c r="M42" i="15"/>
  <c r="M41" i="15" s="1"/>
  <c r="M47" i="15" s="1"/>
  <c r="N42" i="15"/>
  <c r="N41" i="15" s="1"/>
  <c r="N47" i="15" s="1"/>
  <c r="C43" i="15"/>
  <c r="D43" i="15"/>
  <c r="E43" i="15"/>
  <c r="F43" i="15"/>
  <c r="G43" i="15"/>
  <c r="H43" i="15"/>
  <c r="I43" i="15"/>
  <c r="J43" i="15"/>
  <c r="K43" i="15"/>
  <c r="L43" i="15"/>
  <c r="M43" i="15"/>
  <c r="N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J45" i="13" l="1"/>
  <c r="H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J40" i="13"/>
  <c r="J46" i="13" s="1"/>
  <c r="H40" i="13"/>
  <c r="H46" i="13" s="1"/>
  <c r="C40" i="13"/>
  <c r="C46" i="13" s="1"/>
  <c r="N38" i="13"/>
  <c r="M38" i="13"/>
  <c r="L38" i="13"/>
  <c r="K38" i="13"/>
  <c r="J38" i="13"/>
  <c r="I38" i="13"/>
  <c r="H38" i="13"/>
  <c r="G38" i="13"/>
  <c r="F38" i="13"/>
  <c r="E38" i="13"/>
  <c r="D38" i="13"/>
  <c r="C38" i="13"/>
  <c r="J37" i="13"/>
  <c r="C37" i="13"/>
  <c r="K33" i="13"/>
  <c r="J33" i="13"/>
  <c r="I33" i="13"/>
  <c r="H33" i="13"/>
  <c r="H37" i="13" s="1"/>
  <c r="G33" i="13"/>
  <c r="F33" i="13"/>
  <c r="E33" i="13"/>
  <c r="D33" i="13"/>
  <c r="C33" i="13"/>
  <c r="N32" i="13"/>
  <c r="N45" i="13" s="1"/>
  <c r="N40" i="13" s="1"/>
  <c r="N46" i="13" s="1"/>
  <c r="M32" i="13"/>
  <c r="M30" i="13" s="1"/>
  <c r="L32" i="13"/>
  <c r="L30" i="13" s="1"/>
  <c r="K32" i="13"/>
  <c r="K30" i="13"/>
  <c r="J30" i="13"/>
  <c r="I30" i="13"/>
  <c r="H30" i="13"/>
  <c r="G30" i="13"/>
  <c r="F30" i="13"/>
  <c r="E30" i="13"/>
  <c r="D30" i="13"/>
  <c r="C30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M45" i="13" s="1"/>
  <c r="M40" i="13" s="1"/>
  <c r="M46" i="13" s="1"/>
  <c r="L17" i="13"/>
  <c r="L45" i="13" s="1"/>
  <c r="L40" i="13" s="1"/>
  <c r="L46" i="13" s="1"/>
  <c r="K17" i="13"/>
  <c r="K45" i="13" s="1"/>
  <c r="K40" i="13" s="1"/>
  <c r="K46" i="13" s="1"/>
  <c r="J17" i="13"/>
  <c r="I17" i="13"/>
  <c r="I45" i="13" s="1"/>
  <c r="I40" i="13" s="1"/>
  <c r="I46" i="13" s="1"/>
  <c r="H17" i="13"/>
  <c r="G17" i="13"/>
  <c r="G45" i="13" s="1"/>
  <c r="G40" i="13" s="1"/>
  <c r="G46" i="13" s="1"/>
  <c r="F17" i="13"/>
  <c r="F45" i="13" s="1"/>
  <c r="F40" i="13" s="1"/>
  <c r="F46" i="13" s="1"/>
  <c r="E17" i="13"/>
  <c r="E45" i="13" s="1"/>
  <c r="E40" i="13" s="1"/>
  <c r="E46" i="13" s="1"/>
  <c r="D17" i="13"/>
  <c r="D45" i="13" s="1"/>
  <c r="D40" i="13" s="1"/>
  <c r="D46" i="13" s="1"/>
  <c r="C17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N6" i="13"/>
  <c r="M6" i="13"/>
  <c r="L6" i="13"/>
  <c r="L37" i="13" s="1"/>
  <c r="K6" i="13"/>
  <c r="K37" i="13" s="1"/>
  <c r="J6" i="13"/>
  <c r="I6" i="13"/>
  <c r="I37" i="13" s="1"/>
  <c r="H6" i="13"/>
  <c r="G6" i="13"/>
  <c r="G37" i="13" s="1"/>
  <c r="F6" i="13"/>
  <c r="F37" i="13" s="1"/>
  <c r="E6" i="13"/>
  <c r="E37" i="13" s="1"/>
  <c r="D6" i="13"/>
  <c r="D37" i="13" s="1"/>
  <c r="C6" i="13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P39" i="12"/>
  <c r="P45" i="12" s="1"/>
  <c r="O39" i="12"/>
  <c r="O45" i="12" s="1"/>
  <c r="N39" i="12"/>
  <c r="N45" i="12" s="1"/>
  <c r="M39" i="12"/>
  <c r="M45" i="12" s="1"/>
  <c r="L39" i="12"/>
  <c r="L45" i="12" s="1"/>
  <c r="K39" i="12"/>
  <c r="K45" i="12" s="1"/>
  <c r="J39" i="12"/>
  <c r="J45" i="12" s="1"/>
  <c r="I39" i="12"/>
  <c r="I45" i="12" s="1"/>
  <c r="H39" i="12"/>
  <c r="H45" i="12" s="1"/>
  <c r="G39" i="12"/>
  <c r="G45" i="12" s="1"/>
  <c r="F39" i="12"/>
  <c r="F45" i="12" s="1"/>
  <c r="E39" i="12"/>
  <c r="E45" i="12" s="1"/>
  <c r="D39" i="12"/>
  <c r="D45" i="12" s="1"/>
  <c r="C39" i="12"/>
  <c r="C45" i="12" s="1"/>
  <c r="X38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Z29" i="12"/>
  <c r="Y29" i="12"/>
  <c r="Y24" i="12" s="1"/>
  <c r="X29" i="12"/>
  <c r="X24" i="12" s="1"/>
  <c r="W29" i="12"/>
  <c r="V29" i="12"/>
  <c r="U29" i="12"/>
  <c r="T29" i="12"/>
  <c r="T24" i="12" s="1"/>
  <c r="S29" i="12"/>
  <c r="R29" i="12"/>
  <c r="R24" i="12" s="1"/>
  <c r="Z24" i="12"/>
  <c r="W24" i="12"/>
  <c r="V24" i="12"/>
  <c r="U24" i="12"/>
  <c r="S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Z23" i="12"/>
  <c r="Z18" i="12" s="1"/>
  <c r="Y23" i="12"/>
  <c r="X23" i="12"/>
  <c r="W23" i="12"/>
  <c r="W18" i="12" s="1"/>
  <c r="V23" i="12"/>
  <c r="V18" i="12" s="1"/>
  <c r="U23" i="12"/>
  <c r="T23" i="12"/>
  <c r="S23" i="12"/>
  <c r="S18" i="12" s="1"/>
  <c r="R23" i="12"/>
  <c r="Q23" i="12"/>
  <c r="Q18" i="12" s="1"/>
  <c r="P23" i="12"/>
  <c r="P18" i="12" s="1"/>
  <c r="Y18" i="12"/>
  <c r="X18" i="12"/>
  <c r="U18" i="12"/>
  <c r="T18" i="12"/>
  <c r="R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Z17" i="12"/>
  <c r="Z44" i="12" s="1"/>
  <c r="Z39" i="12" s="1"/>
  <c r="Z45" i="12" s="1"/>
  <c r="Y17" i="12"/>
  <c r="Y44" i="12" s="1"/>
  <c r="Y39" i="12" s="1"/>
  <c r="Y45" i="12" s="1"/>
  <c r="X17" i="12"/>
  <c r="X44" i="12" s="1"/>
  <c r="X39" i="12" s="1"/>
  <c r="X45" i="12" s="1"/>
  <c r="W17" i="12"/>
  <c r="W44" i="12" s="1"/>
  <c r="W39" i="12" s="1"/>
  <c r="W45" i="12" s="1"/>
  <c r="V17" i="12"/>
  <c r="V12" i="12" s="1"/>
  <c r="U17" i="12"/>
  <c r="U12" i="12" s="1"/>
  <c r="T17" i="12"/>
  <c r="T44" i="12" s="1"/>
  <c r="T39" i="12" s="1"/>
  <c r="T45" i="12" s="1"/>
  <c r="S17" i="12"/>
  <c r="S44" i="12" s="1"/>
  <c r="S39" i="12" s="1"/>
  <c r="S45" i="12" s="1"/>
  <c r="R17" i="12"/>
  <c r="R12" i="12" s="1"/>
  <c r="Q17" i="12"/>
  <c r="Q44" i="12" s="1"/>
  <c r="Q39" i="12" s="1"/>
  <c r="Q45" i="12" s="1"/>
  <c r="P17" i="12"/>
  <c r="P12" i="12" s="1"/>
  <c r="Z12" i="12"/>
  <c r="X12" i="12"/>
  <c r="W12" i="12"/>
  <c r="T12" i="12"/>
  <c r="S12" i="12"/>
  <c r="Q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L29" i="11"/>
  <c r="K29" i="11"/>
  <c r="J29" i="11"/>
  <c r="I29" i="11"/>
  <c r="H29" i="11"/>
  <c r="G29" i="11"/>
  <c r="F29" i="11"/>
  <c r="E29" i="11"/>
  <c r="D29" i="11"/>
  <c r="C29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L26" i="11"/>
  <c r="K26" i="11"/>
  <c r="J26" i="11"/>
  <c r="I26" i="11"/>
  <c r="H26" i="11"/>
  <c r="G26" i="11"/>
  <c r="F26" i="11"/>
  <c r="E26" i="11"/>
  <c r="D26" i="11"/>
  <c r="C26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M29" i="11" s="1"/>
  <c r="M26" i="11" s="1"/>
  <c r="M22" i="11" s="1"/>
  <c r="L23" i="11"/>
  <c r="K23" i="11"/>
  <c r="J23" i="11"/>
  <c r="I23" i="11"/>
  <c r="H23" i="11"/>
  <c r="G23" i="11"/>
  <c r="F23" i="11"/>
  <c r="E23" i="11"/>
  <c r="D23" i="11"/>
  <c r="C23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L22" i="11"/>
  <c r="K22" i="11"/>
  <c r="J22" i="11"/>
  <c r="I22" i="11"/>
  <c r="H22" i="11"/>
  <c r="G22" i="11"/>
  <c r="F22" i="11"/>
  <c r="E22" i="11"/>
  <c r="D22" i="11"/>
  <c r="C22" i="11"/>
  <c r="V21" i="11"/>
  <c r="U21" i="11"/>
  <c r="J21" i="11"/>
  <c r="I21" i="11"/>
  <c r="H21" i="11"/>
  <c r="G21" i="11"/>
  <c r="F21" i="11"/>
  <c r="E21" i="11"/>
  <c r="D21" i="11"/>
  <c r="C21" i="11"/>
  <c r="V18" i="11"/>
  <c r="U18" i="11"/>
  <c r="J18" i="11"/>
  <c r="I18" i="11"/>
  <c r="H18" i="11"/>
  <c r="G18" i="11"/>
  <c r="F18" i="11"/>
  <c r="E18" i="11"/>
  <c r="D18" i="11"/>
  <c r="C18" i="11"/>
  <c r="Z15" i="11"/>
  <c r="Z21" i="11" s="1"/>
  <c r="Z18" i="11" s="1"/>
  <c r="Z14" i="11" s="1"/>
  <c r="Y15" i="11"/>
  <c r="Y21" i="11" s="1"/>
  <c r="Y18" i="11" s="1"/>
  <c r="Y14" i="11" s="1"/>
  <c r="X15" i="11"/>
  <c r="X21" i="11" s="1"/>
  <c r="X18" i="11" s="1"/>
  <c r="X14" i="11" s="1"/>
  <c r="W15" i="11"/>
  <c r="W21" i="11" s="1"/>
  <c r="W18" i="11" s="1"/>
  <c r="W14" i="11" s="1"/>
  <c r="V15" i="11"/>
  <c r="U15" i="11"/>
  <c r="T15" i="11"/>
  <c r="T21" i="11" s="1"/>
  <c r="T18" i="11" s="1"/>
  <c r="T14" i="11" s="1"/>
  <c r="S15" i="11"/>
  <c r="S21" i="11" s="1"/>
  <c r="S18" i="11" s="1"/>
  <c r="S14" i="11" s="1"/>
  <c r="R15" i="11"/>
  <c r="R21" i="11" s="1"/>
  <c r="R18" i="11" s="1"/>
  <c r="R14" i="11" s="1"/>
  <c r="Q15" i="11"/>
  <c r="Q21" i="11" s="1"/>
  <c r="Q18" i="11" s="1"/>
  <c r="Q14" i="11" s="1"/>
  <c r="P15" i="11"/>
  <c r="P21" i="11" s="1"/>
  <c r="P18" i="11" s="1"/>
  <c r="P14" i="11" s="1"/>
  <c r="O15" i="11"/>
  <c r="O21" i="11" s="1"/>
  <c r="O18" i="11" s="1"/>
  <c r="O14" i="11" s="1"/>
  <c r="N15" i="11"/>
  <c r="N21" i="11" s="1"/>
  <c r="N18" i="11" s="1"/>
  <c r="N14" i="11" s="1"/>
  <c r="M15" i="11"/>
  <c r="M21" i="11" s="1"/>
  <c r="M18" i="11" s="1"/>
  <c r="M14" i="11" s="1"/>
  <c r="L15" i="11"/>
  <c r="L21" i="11" s="1"/>
  <c r="L18" i="11" s="1"/>
  <c r="L14" i="11" s="1"/>
  <c r="K15" i="11"/>
  <c r="K21" i="11" s="1"/>
  <c r="K18" i="11" s="1"/>
  <c r="K14" i="11" s="1"/>
  <c r="J15" i="11"/>
  <c r="I15" i="11"/>
  <c r="H15" i="11"/>
  <c r="G15" i="11"/>
  <c r="F15" i="11"/>
  <c r="E15" i="11"/>
  <c r="D15" i="11"/>
  <c r="C15" i="11"/>
  <c r="V14" i="11"/>
  <c r="U14" i="11"/>
  <c r="J14" i="11"/>
  <c r="I14" i="11"/>
  <c r="H14" i="11"/>
  <c r="G14" i="11"/>
  <c r="F14" i="11"/>
  <c r="E14" i="11"/>
  <c r="D14" i="11"/>
  <c r="C14" i="11"/>
  <c r="L13" i="11"/>
  <c r="L10" i="11" s="1"/>
  <c r="L6" i="11" s="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K10" i="11"/>
  <c r="J10" i="11"/>
  <c r="I10" i="11"/>
  <c r="H10" i="11"/>
  <c r="G10" i="11"/>
  <c r="F10" i="11"/>
  <c r="E10" i="11"/>
  <c r="D10" i="11"/>
  <c r="C10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M13" i="11" s="1"/>
  <c r="M10" i="11" s="1"/>
  <c r="M6" i="11" s="1"/>
  <c r="L7" i="11"/>
  <c r="K7" i="11"/>
  <c r="J7" i="11"/>
  <c r="I7" i="11"/>
  <c r="H7" i="11"/>
  <c r="G7" i="11"/>
  <c r="F7" i="11"/>
  <c r="E7" i="11"/>
  <c r="D7" i="11"/>
  <c r="C7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K6" i="11"/>
  <c r="J6" i="11"/>
  <c r="I6" i="11"/>
  <c r="H6" i="11"/>
  <c r="G6" i="11"/>
  <c r="F6" i="11"/>
  <c r="E6" i="11"/>
  <c r="D6" i="11"/>
  <c r="C6" i="11"/>
  <c r="N27" i="8"/>
  <c r="N26" i="8" s="1"/>
  <c r="O39" i="7"/>
  <c r="P39" i="7" s="1"/>
  <c r="O38" i="7"/>
  <c r="P38" i="7" s="1"/>
  <c r="O37" i="7"/>
  <c r="P37" i="7" s="1"/>
  <c r="O36" i="7"/>
  <c r="P36" i="7" s="1"/>
  <c r="P33" i="7"/>
  <c r="O32" i="7"/>
  <c r="P32" i="7" s="1"/>
  <c r="P30" i="7"/>
  <c r="P29" i="7"/>
  <c r="P28" i="7"/>
  <c r="O27" i="7"/>
  <c r="P27" i="7" s="1"/>
  <c r="P26" i="7"/>
  <c r="O26" i="7"/>
  <c r="P25" i="7"/>
  <c r="P24" i="7"/>
  <c r="P23" i="7"/>
  <c r="O23" i="7"/>
  <c r="O22" i="7"/>
  <c r="P22" i="7" s="1"/>
  <c r="P21" i="7"/>
  <c r="P20" i="7"/>
  <c r="P19" i="7"/>
  <c r="O18" i="7"/>
  <c r="P18" i="7" s="1"/>
  <c r="P16" i="7"/>
  <c r="P15" i="7"/>
  <c r="P14" i="7"/>
  <c r="O13" i="7"/>
  <c r="P13" i="7" s="1"/>
  <c r="O12" i="7"/>
  <c r="P12" i="7" s="1"/>
  <c r="P11" i="7"/>
  <c r="P10" i="7"/>
  <c r="P9" i="7"/>
  <c r="P8" i="7"/>
  <c r="O7" i="7"/>
  <c r="P7" i="7" s="1"/>
  <c r="O6" i="7"/>
  <c r="P6" i="7" s="1"/>
  <c r="N34" i="4"/>
  <c r="M34" i="4"/>
  <c r="L34" i="4"/>
  <c r="K34" i="4"/>
  <c r="J34" i="4"/>
  <c r="I34" i="4"/>
  <c r="H34" i="4"/>
  <c r="G34" i="4"/>
  <c r="F34" i="4"/>
  <c r="E34" i="4"/>
  <c r="D34" i="4"/>
  <c r="C34" i="4"/>
  <c r="N33" i="4"/>
  <c r="M33" i="4"/>
  <c r="L33" i="4"/>
  <c r="K33" i="4"/>
  <c r="J33" i="4"/>
  <c r="I33" i="4"/>
  <c r="H33" i="4"/>
  <c r="G33" i="4"/>
  <c r="F33" i="4"/>
  <c r="E33" i="4"/>
  <c r="D33" i="4"/>
  <c r="C33" i="4"/>
  <c r="N32" i="4"/>
  <c r="M32" i="4"/>
  <c r="L32" i="4"/>
  <c r="K32" i="4"/>
  <c r="J32" i="4"/>
  <c r="I32" i="4"/>
  <c r="H32" i="4"/>
  <c r="G32" i="4"/>
  <c r="G30" i="4" s="1"/>
  <c r="G29" i="4" s="1"/>
  <c r="F32" i="4"/>
  <c r="E32" i="4"/>
  <c r="D32" i="4"/>
  <c r="C32" i="4"/>
  <c r="N31" i="4"/>
  <c r="M31" i="4"/>
  <c r="L31" i="4"/>
  <c r="L30" i="4" s="1"/>
  <c r="L29" i="4" s="1"/>
  <c r="K31" i="4"/>
  <c r="J31" i="4"/>
  <c r="I31" i="4"/>
  <c r="H31" i="4"/>
  <c r="G31" i="4"/>
  <c r="F31" i="4"/>
  <c r="E31" i="4"/>
  <c r="D31" i="4"/>
  <c r="C31" i="4"/>
  <c r="C30" i="4" s="1"/>
  <c r="C29" i="4" s="1"/>
  <c r="N30" i="4"/>
  <c r="M30" i="4"/>
  <c r="K30" i="4"/>
  <c r="J30" i="4"/>
  <c r="I30" i="4"/>
  <c r="H30" i="4"/>
  <c r="F30" i="4"/>
  <c r="E30" i="4"/>
  <c r="D30" i="4"/>
  <c r="N29" i="4"/>
  <c r="M29" i="4"/>
  <c r="K29" i="4"/>
  <c r="J29" i="4"/>
  <c r="I29" i="4"/>
  <c r="H29" i="4"/>
  <c r="F29" i="4"/>
  <c r="E29" i="4"/>
  <c r="D29" i="4"/>
  <c r="N27" i="4"/>
  <c r="M27" i="4"/>
  <c r="L27" i="4"/>
  <c r="K27" i="4"/>
  <c r="J27" i="4"/>
  <c r="I27" i="4"/>
  <c r="H27" i="4"/>
  <c r="G27" i="4"/>
  <c r="F27" i="4"/>
  <c r="E27" i="4"/>
  <c r="D27" i="4"/>
  <c r="C27" i="4"/>
  <c r="N23" i="4"/>
  <c r="M23" i="4"/>
  <c r="L23" i="4"/>
  <c r="L22" i="4" s="1"/>
  <c r="K23" i="4"/>
  <c r="K22" i="4" s="1"/>
  <c r="J23" i="4"/>
  <c r="I23" i="4"/>
  <c r="H23" i="4"/>
  <c r="G23" i="4"/>
  <c r="F23" i="4"/>
  <c r="E23" i="4"/>
  <c r="D23" i="4"/>
  <c r="C23" i="4"/>
  <c r="N22" i="4"/>
  <c r="M22" i="4"/>
  <c r="J22" i="4"/>
  <c r="I22" i="4"/>
  <c r="H22" i="4"/>
  <c r="G22" i="4"/>
  <c r="F22" i="4"/>
  <c r="E22" i="4"/>
  <c r="D22" i="4"/>
  <c r="C22" i="4"/>
  <c r="N18" i="4"/>
  <c r="M18" i="4"/>
  <c r="L18" i="4"/>
  <c r="K18" i="4"/>
  <c r="K17" i="4" s="1"/>
  <c r="J18" i="4"/>
  <c r="I18" i="4"/>
  <c r="H18" i="4"/>
  <c r="G18" i="4"/>
  <c r="F18" i="4"/>
  <c r="E18" i="4"/>
  <c r="D18" i="4"/>
  <c r="C18" i="4"/>
  <c r="N17" i="4"/>
  <c r="M17" i="4"/>
  <c r="L17" i="4"/>
  <c r="J17" i="4"/>
  <c r="I17" i="4"/>
  <c r="H17" i="4"/>
  <c r="G17" i="4"/>
  <c r="F17" i="4"/>
  <c r="E17" i="4"/>
  <c r="D17" i="4"/>
  <c r="C17" i="4"/>
  <c r="N13" i="4"/>
  <c r="M13" i="4"/>
  <c r="L13" i="4"/>
  <c r="K13" i="4"/>
  <c r="J13" i="4"/>
  <c r="I13" i="4"/>
  <c r="H13" i="4"/>
  <c r="G13" i="4"/>
  <c r="G12" i="4" s="1"/>
  <c r="F13" i="4"/>
  <c r="E13" i="4"/>
  <c r="D13" i="4"/>
  <c r="C13" i="4"/>
  <c r="N12" i="4"/>
  <c r="M12" i="4"/>
  <c r="L12" i="4"/>
  <c r="K12" i="4"/>
  <c r="J12" i="4"/>
  <c r="I12" i="4"/>
  <c r="H12" i="4"/>
  <c r="F12" i="4"/>
  <c r="E12" i="4"/>
  <c r="D12" i="4"/>
  <c r="C12" i="4"/>
  <c r="N7" i="4"/>
  <c r="M7" i="4"/>
  <c r="L7" i="4"/>
  <c r="K7" i="4"/>
  <c r="J7" i="4"/>
  <c r="I7" i="4"/>
  <c r="H7" i="4"/>
  <c r="G7" i="4"/>
  <c r="F7" i="4"/>
  <c r="E7" i="4"/>
  <c r="D7" i="4"/>
  <c r="C7" i="4"/>
  <c r="N6" i="4"/>
  <c r="M6" i="4"/>
  <c r="L6" i="4"/>
  <c r="K6" i="4"/>
  <c r="J6" i="4"/>
  <c r="I6" i="4"/>
  <c r="H6" i="4"/>
  <c r="G6" i="4"/>
  <c r="F6" i="4"/>
  <c r="E6" i="4"/>
  <c r="D6" i="4"/>
  <c r="C6" i="4"/>
  <c r="M37" i="13" l="1"/>
  <c r="O17" i="7"/>
  <c r="P17" i="7" s="1"/>
  <c r="O35" i="7"/>
  <c r="Y12" i="12"/>
  <c r="R44" i="12"/>
  <c r="R39" i="12" s="1"/>
  <c r="R45" i="12" s="1"/>
  <c r="U44" i="12"/>
  <c r="U39" i="12" s="1"/>
  <c r="U45" i="12" s="1"/>
  <c r="V44" i="12"/>
  <c r="V39" i="12" s="1"/>
  <c r="V45" i="12" s="1"/>
  <c r="N30" i="13"/>
  <c r="N37" i="13" s="1"/>
  <c r="O34" i="7" l="1"/>
  <c r="P34" i="7" s="1"/>
  <c r="P35" i="7"/>
</calcChain>
</file>

<file path=xl/sharedStrings.xml><?xml version="1.0" encoding="utf-8"?>
<sst xmlns="http://schemas.openxmlformats.org/spreadsheetml/2006/main" count="1380" uniqueCount="184">
  <si>
    <t>Outstanding Domestic Debt of the Government of Nepal</t>
  </si>
  <si>
    <t>Rs in million</t>
  </si>
  <si>
    <t>No.</t>
  </si>
  <si>
    <t xml:space="preserve"> Name of Bonds/Ownership</t>
  </si>
  <si>
    <t>1997/98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</si>
  <si>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</si>
  <si>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</si>
  <si>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</si>
  <si>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</si>
  <si>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</si>
  <si>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</si>
  <si>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</si>
  <si>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</si>
  <si>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</si>
  <si>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</si>
  <si>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</si>
  <si>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</si>
  <si>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 xml:space="preserve"> Treasury Bills</t>
  </si>
  <si>
    <t>a. Banking Sector</t>
  </si>
  <si>
    <t xml:space="preserve">   i. Nepal Rastra Bank</t>
  </si>
  <si>
    <t>^</t>
  </si>
  <si>
    <t>*</t>
  </si>
  <si>
    <t>-</t>
  </si>
  <si>
    <t xml:space="preserve">  ii. Commercial Banks</t>
  </si>
  <si>
    <t>b. Non-Banking Sector</t>
  </si>
  <si>
    <t xml:space="preserve">     (of which ADB/N)</t>
  </si>
  <si>
    <t xml:space="preserve"> Development Bonds</t>
  </si>
  <si>
    <t xml:space="preserve">   i. Nepal Rastra Bank#</t>
  </si>
  <si>
    <t>b. Non-Banking Sector$</t>
  </si>
  <si>
    <t xml:space="preserve"> National Saving Bonds</t>
  </si>
  <si>
    <t>@</t>
  </si>
  <si>
    <t>!</t>
  </si>
  <si>
    <t>%</t>
  </si>
  <si>
    <t>b. Non-Banking Sector**</t>
  </si>
  <si>
    <t xml:space="preserve"> Special Bonds</t>
  </si>
  <si>
    <t xml:space="preserve">   i. Nepal Rastra Bank+</t>
  </si>
  <si>
    <t>b.Non-Banking Sector</t>
  </si>
  <si>
    <t>Short-term Loans &amp; 
Advances</t>
  </si>
  <si>
    <t xml:space="preserve"> Grand Total</t>
  </si>
  <si>
    <t xml:space="preserve">* Secondary Market.Includes Repo of Treasury Bills amounting to Rs 599.0 million in Mid-Jul,Rs 40.0 million in mid-Feb, Rs 160.0 million in Mar, Rs 10.0 million in Apr and Rs 10.0 million in May.  </t>
  </si>
  <si>
    <t>^ Secondary Market.</t>
  </si>
  <si>
    <t># Includes  NRB  CSI Project Rs 8.9 million.</t>
  </si>
  <si>
    <t>$  Includes Rs 8.1 million of NRB Accounts and Expenditure Department.</t>
  </si>
  <si>
    <t>&amp; Secondary Market Rs 24.0 million is included.</t>
  </si>
  <si>
    <t>@ Secondary Market Rs 24.5 million is included.</t>
  </si>
  <si>
    <t>!  Secondary Market Rs 20.4 million is included.</t>
  </si>
  <si>
    <t>% Secondary Market Rs 21.7 million is included.</t>
  </si>
  <si>
    <t>** Includes Rs 322.5 million of various funds of NRB upto mid Nov. '97 and in mid-Dec. Rs 329.5 million,</t>
  </si>
  <si>
    <t xml:space="preserve">in mid-Jan '98 Rs 331.5 million, in mid-Feb &amp; mid-Mar Rs 300.4 milion, in mid-Apr and May Rs 252.5 million, in mid-Jun and July 3692.5 is included. </t>
  </si>
  <si>
    <t>Excludes Rs 24.0 million in mid Jul '97, Rs 24.5 million in mid-Aug, Rs 20.4 million in mid-Sep and mid-Oct and Rs 21.7 million in mid-Nov.</t>
  </si>
  <si>
    <t xml:space="preserve">+ Includes Special Bonds, IMF promissory Notes, 25 Years Bonds, 20 Years Bonds and 10 Years Bonds. </t>
  </si>
  <si>
    <t>Source: Nepal Rastra Bank</t>
  </si>
  <si>
    <t>1998/99</t>
  </si>
  <si>
    <t xml:space="preserve">   i. Nepal Rastra Bank *</t>
  </si>
  <si>
    <t>b. Non-Banking Sector **</t>
  </si>
  <si>
    <t>b. Non-Banking Sector +</t>
  </si>
  <si>
    <t xml:space="preserve">   i. Nepal Rastra Bank ++</t>
  </si>
  <si>
    <t>Short-term loans &amp; Advances</t>
  </si>
  <si>
    <t>Includes  NRB  CSI Project Rs 8.9 million.</t>
  </si>
  <si>
    <t>**</t>
  </si>
  <si>
    <t>Includes Rs 8.1 million of NRB, Accounts and Expenditure Department.</t>
  </si>
  <si>
    <t>+</t>
  </si>
  <si>
    <t>Includes Rs. 369.2 million of various funds of NRB.</t>
  </si>
  <si>
    <t>++</t>
  </si>
  <si>
    <t xml:space="preserve">Includes Special Bonds, IMF Promissory Note,25 Years Bonds, 20 Years Bonds and 10 Years Bonds. </t>
  </si>
  <si>
    <t>Promissory Note without interest and 4 percent Promissory Note amounting to Rs. 188.5 million are</t>
  </si>
  <si>
    <t>also included since mid-Oct. 1998.</t>
  </si>
  <si>
    <t>Source : Nepal Rastra Bank.</t>
  </si>
  <si>
    <t>1999/00</t>
  </si>
  <si>
    <t>Short Term Loan &amp; Advances</t>
  </si>
  <si>
    <t>Nepal Rastra Bank</t>
  </si>
  <si>
    <t>Includes Rs. 549.6 million of various funds of NRB.</t>
  </si>
  <si>
    <t>Includes Rs. 368.3 million of various funds of NRB.</t>
  </si>
  <si>
    <t xml:space="preserve">Includes Special Bonds, IMF Promissory Note, 25 Years Bonds, 20 Years Bonds and 10 Years Bonds. </t>
  </si>
  <si>
    <t>This amount was converted in Treasury Bills as on 2057.01.13 (April 25,2000).</t>
  </si>
  <si>
    <t>2000-01</t>
  </si>
  <si>
    <t>Short Term Loan &amp; Advances@</t>
  </si>
  <si>
    <t>Includes Rs. 550.0 million of various funds of NRB.</t>
  </si>
  <si>
    <t>Includes Rs. 360.7 million of various funds of NRB.</t>
  </si>
  <si>
    <t xml:space="preserve">Includes Special Bonds, IMF Promissory Note, 20 Years Bonds and 10 Years Bonds. </t>
  </si>
  <si>
    <t>Overdraft revised on 2057/05/29 and again on 2057.9.12 (2000-12-27)</t>
  </si>
  <si>
    <t xml:space="preserve">Outstanding Domestic Debt of the Government of Nepal </t>
  </si>
  <si>
    <t>2001/02</t>
  </si>
  <si>
    <t xml:space="preserve"> National Saving Certificates</t>
  </si>
  <si>
    <t xml:space="preserve"> Citizen Saving Bonds</t>
  </si>
  <si>
    <t xml:space="preserve">b. Non-Banking Sector </t>
  </si>
  <si>
    <t>Includes Rs. 1202.0 million of various funds of NRB.</t>
  </si>
  <si>
    <t>Includes Rs. 179.8 million of various funds of NRB.</t>
  </si>
  <si>
    <t>Overdraft revised on 2058/07/20</t>
  </si>
  <si>
    <t>Overdraft amount Rs. 6546.7 million was converted into Treasury Bills as on 2058.Paush.</t>
  </si>
  <si>
    <t>2002/03</t>
  </si>
  <si>
    <t>Includes Rs. 854.3 million of various funds of NRB.</t>
  </si>
  <si>
    <t>Promissory Note without interest and 4 percent Promissory Note amounting to Rs. 188.4 million are also included since mid-Oct.1998.</t>
  </si>
  <si>
    <t xml:space="preserve">Includes Special Bonds, IMF Promissory Note, and 10 Years Bonds. </t>
  </si>
  <si>
    <t>2003/04</t>
  </si>
  <si>
    <t>Change</t>
  </si>
  <si>
    <t>Mid-May</t>
  </si>
  <si>
    <t>May 03 - Jul 02</t>
  </si>
  <si>
    <t xml:space="preserve">    (Of which duty drawback)</t>
  </si>
  <si>
    <t>Includes Rs.715.8 million of various funds of NRB.</t>
  </si>
  <si>
    <t>Includes Rs. 63.1 million of various funds of NRB.</t>
  </si>
  <si>
    <t xml:space="preserve">The Overdraft amount Rs. 127.7 million of Ilam Branch which has not been  mentioned in the </t>
  </si>
  <si>
    <t xml:space="preserve">Treasury position is mentioned here as the overdraft amount.(From mid Jan, 2004 to mid Jun, 2004) </t>
  </si>
  <si>
    <t xml:space="preserve">    Source : Nepal Rastra Bank.</t>
  </si>
  <si>
    <t>2004/05</t>
  </si>
  <si>
    <t>Includes Rs. 1945.5 million of various funds of NRB.</t>
  </si>
  <si>
    <t>Includes Rs. 11.6 million of various funds of NRB.</t>
  </si>
  <si>
    <t xml:space="preserve">Includes Special Bonds and 10 Years Bonds, and does not include IMF Promissory Note,  . </t>
  </si>
  <si>
    <t xml:space="preserve">The Overdraft amount of Rs. 127.7 million of Ilam Branch which has not mentioned in the </t>
  </si>
  <si>
    <t>Treasury position is mentioned here as the overdraft amount.</t>
  </si>
  <si>
    <t xml:space="preserve"> 2005/06</t>
  </si>
  <si>
    <t>Treasury Bills</t>
  </si>
  <si>
    <t>Development Bonds</t>
  </si>
  <si>
    <t>National Saving Certificates</t>
  </si>
  <si>
    <t>Citizen Saving Bonds</t>
  </si>
  <si>
    <t>Special Bonds</t>
  </si>
  <si>
    <t xml:space="preserve">  i. Commercial Banks</t>
  </si>
  <si>
    <t>Grand Total</t>
  </si>
  <si>
    <t>Includes Rs. 1923.2 million of various funds of NRB.</t>
  </si>
  <si>
    <t xml:space="preserve"> 2006/07</t>
  </si>
  <si>
    <t>2007/08</t>
  </si>
  <si>
    <t>2008/09</t>
  </si>
  <si>
    <t>2009/10</t>
  </si>
  <si>
    <t>20010/11</t>
  </si>
  <si>
    <t xml:space="preserve">   i. Nepal Rastra Bank </t>
  </si>
  <si>
    <t xml:space="preserve">Grand Total </t>
  </si>
  <si>
    <t xml:space="preserve">a. Banking sector </t>
  </si>
  <si>
    <t xml:space="preserve">    i NRB</t>
  </si>
  <si>
    <t xml:space="preserve">   ii. Commercial Banks</t>
  </si>
  <si>
    <t>Rs. in Million</t>
  </si>
  <si>
    <t>Name of Bonds &amp; Ownership</t>
  </si>
  <si>
    <t>2011/12</t>
  </si>
  <si>
    <t>2012/13</t>
  </si>
  <si>
    <t>Sep</t>
  </si>
  <si>
    <t>A. Banking Sector</t>
  </si>
  <si>
    <t xml:space="preserve">    a. Nepal Rastra Bank</t>
  </si>
  <si>
    <t xml:space="preserve">    b. Commercial Banks</t>
  </si>
  <si>
    <t>B. Non-Banking Sector</t>
  </si>
  <si>
    <t xml:space="preserve">    a. Development Banks</t>
  </si>
  <si>
    <t xml:space="preserve">    b. Finance Companies</t>
  </si>
  <si>
    <t xml:space="preserve">    c. Others</t>
  </si>
  <si>
    <t xml:space="preserve">    a. Nepal Rastra Bank (Secondary Market)</t>
  </si>
  <si>
    <t xml:space="preserve">   (Of which Foreign Employment Bond 2072)</t>
  </si>
  <si>
    <t>a. Nepal Rastra Bank</t>
  </si>
  <si>
    <t>b. Commercial Bank (10 yrs bond of RBB)</t>
  </si>
  <si>
    <t>c. Others</t>
  </si>
  <si>
    <t>Short-term Loans &amp; Advances</t>
  </si>
  <si>
    <t>Total Domestic Debt</t>
  </si>
  <si>
    <t>*    Including Finance Com. &amp; Dev. Banks.</t>
  </si>
  <si>
    <t>**  Ownership of various funds of Nepal Rastra Bank is included.</t>
  </si>
  <si>
    <t xml:space="preserve">Source : Nepal Rastra Bank </t>
  </si>
  <si>
    <t xml:space="preserve">Rs. In million </t>
  </si>
  <si>
    <t>2013/14</t>
  </si>
  <si>
    <t>2014/15</t>
  </si>
  <si>
    <t xml:space="preserve">    c. Development Banks</t>
  </si>
  <si>
    <t xml:space="preserve">    d. Finance Companies</t>
  </si>
  <si>
    <t xml:space="preserve">    e. Others</t>
  </si>
  <si>
    <t>Foreign Employment Bond</t>
  </si>
  <si>
    <t xml:space="preserve">    b. Others</t>
  </si>
  <si>
    <t xml:space="preserve">    b. Commercial Bank (10 yrs bond of RBB)</t>
  </si>
  <si>
    <t xml:space="preserve">    a. Nepal Rastra Bank @</t>
  </si>
  <si>
    <t>Total Outstanding Debt Excluding Short Term Loan &amp; Advances</t>
  </si>
  <si>
    <t>.@ (-) indicates Surplus</t>
  </si>
  <si>
    <t xml:space="preserve">Source : PDMD and Banking Office, Nepal Rastra Bank </t>
  </si>
  <si>
    <t>2015/16</t>
  </si>
  <si>
    <t>July</t>
  </si>
  <si>
    <t>Balance at Nepal Rastra Bank</t>
  </si>
  <si>
    <t xml:space="preserve">    a. Nepal Rastra Bank @ #</t>
  </si>
  <si>
    <t>Mid-Months</t>
  </si>
  <si>
    <t>Outstanding Domestic Debt of the Government of Nepal - 2016/17</t>
  </si>
  <si>
    <t>Table 91</t>
  </si>
  <si>
    <t>Outstanding Domestic Debt of the Government of Nepal - 2017/18</t>
  </si>
  <si>
    <t>Table 90</t>
  </si>
  <si>
    <t>Outstanding Domestic Debt of the Government of Nepal -2018/19</t>
  </si>
  <si>
    <t>Table 89</t>
  </si>
  <si>
    <t>Outstanding Domestic Debt of the Government of Nepal -2019/20</t>
  </si>
  <si>
    <t>Table 88</t>
  </si>
  <si>
    <t>Outstanding Domestic Debt of the Government of Nepal -2020/21</t>
  </si>
  <si>
    <t>Table 87</t>
  </si>
  <si>
    <t>Outstanding Domestic Debt of the Government of Nepal -2021/22</t>
  </si>
  <si>
    <t>Table 86</t>
  </si>
  <si>
    <t>Outstanding Domestic Debt of the Government of Nepal -2022/23</t>
  </si>
  <si>
    <t>Outstanding Domestic Debt of the Government of Nepal -2023/24</t>
  </si>
  <si>
    <t>Outstanding Domestic Debt of the Government of Nepal -2024/25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</si>
</sst>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_)"/>
    <numFmt numFmtId="166" formatCode="0.0"/>
    <numFmt numFmtId="167" formatCode="0.000_)"/>
    <numFmt numFmtId="168" formatCode="0.0000_)"/>
    <numFmt numFmtId="169" formatCode="0.00_)"/>
  </numFmts>
  <fonts count="3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i/>
      <sz val="6.5"/>
      <name val="Times New Roman"/>
      <family val="1"/>
    </font>
    <font>
      <b/>
      <sz val="6.5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6"/>
      <name val="Times New Roman"/>
      <family val="1"/>
    </font>
    <font>
      <sz val="6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b/>
      <i/>
      <sz val="7"/>
      <name val="Times New Roman"/>
      <family val="1"/>
    </font>
    <font>
      <sz val="8"/>
      <name val="Arial"/>
      <family val="2"/>
    </font>
    <font>
      <b/>
      <i/>
      <sz val="8"/>
      <name val="Times New Roman"/>
      <family val="1"/>
    </font>
    <font>
      <sz val="18"/>
      <name val="Arial"/>
      <family val="2"/>
    </font>
    <font>
      <b/>
      <sz val="8"/>
      <name val="Arial"/>
      <family val="2"/>
    </font>
    <font>
      <sz val="10"/>
      <name val="Arial"/>
    </font>
    <font>
      <sz val="16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8" fillId="0" borderId="0"/>
  </cellStyleXfs>
  <cellXfs count="499">
    <xf numFmtId="0" fontId="0" fillId="0" borderId="0" xfId="0"/>
    <xf numFmtId="0" fontId="2" fillId="0" borderId="0" xfId="0" applyFont="1" applyBorder="1"/>
    <xf numFmtId="0" fontId="6" fillId="0" borderId="0" xfId="0" applyFont="1" applyBorder="1"/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164" fontId="5" fillId="0" borderId="3" xfId="0" applyNumberFormat="1" applyFont="1" applyBorder="1" applyAlignment="1" applyProtection="1">
      <alignment horizontal="right" vertical="center"/>
    </xf>
    <xf numFmtId="164" fontId="5" fillId="0" borderId="1" xfId="0" applyNumberFormat="1" applyFont="1" applyBorder="1" applyAlignment="1">
      <alignment vertical="center"/>
    </xf>
    <xf numFmtId="164" fontId="5" fillId="0" borderId="3" xfId="0" applyNumberFormat="1" applyFont="1" applyBorder="1" applyAlignment="1" applyProtection="1">
      <alignment vertical="center"/>
    </xf>
    <xf numFmtId="164" fontId="5" fillId="0" borderId="2" xfId="0" applyNumberFormat="1" applyFont="1" applyBorder="1" applyAlignment="1" applyProtection="1">
      <alignment horizontal="right" vertical="center"/>
    </xf>
    <xf numFmtId="164" fontId="5" fillId="0" borderId="15" xfId="0" applyNumberFormat="1" applyFont="1" applyBorder="1" applyAlignment="1" applyProtection="1">
      <alignment horizontal="right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/>
    </xf>
    <xf numFmtId="164" fontId="6" fillId="0" borderId="3" xfId="0" applyNumberFormat="1" applyFont="1" applyBorder="1" applyAlignment="1" applyProtection="1">
      <alignment horizontal="right" vertical="center"/>
    </xf>
    <xf numFmtId="164" fontId="6" fillId="0" borderId="1" xfId="0" applyNumberFormat="1" applyFont="1" applyBorder="1" applyAlignment="1">
      <alignment vertical="center"/>
    </xf>
    <xf numFmtId="164" fontId="6" fillId="0" borderId="3" xfId="0" applyNumberFormat="1" applyFont="1" applyBorder="1" applyAlignment="1" applyProtection="1">
      <alignment vertical="center"/>
    </xf>
    <xf numFmtId="164" fontId="6" fillId="0" borderId="2" xfId="0" applyNumberFormat="1" applyFont="1" applyBorder="1" applyAlignment="1" applyProtection="1">
      <alignment horizontal="right" vertical="center"/>
    </xf>
    <xf numFmtId="164" fontId="6" fillId="0" borderId="15" xfId="0" applyNumberFormat="1" applyFont="1" applyBorder="1" applyAlignment="1" applyProtection="1">
      <alignment horizontal="right" vertical="center"/>
    </xf>
    <xf numFmtId="164" fontId="6" fillId="0" borderId="1" xfId="0" applyNumberFormat="1" applyFont="1" applyBorder="1" applyAlignment="1" applyProtection="1">
      <alignment horizontal="fill" vertical="center"/>
    </xf>
    <xf numFmtId="164" fontId="6" fillId="0" borderId="1" xfId="0" applyNumberFormat="1" applyFont="1" applyBorder="1" applyAlignment="1" applyProtection="1">
      <alignment horizontal="left" vertical="center"/>
    </xf>
    <xf numFmtId="165" fontId="6" fillId="0" borderId="0" xfId="0" applyNumberFormat="1" applyFont="1" applyBorder="1" applyProtection="1"/>
    <xf numFmtId="0" fontId="5" fillId="0" borderId="14" xfId="0" applyNumberFormat="1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 wrapText="1"/>
    </xf>
    <xf numFmtId="164" fontId="6" fillId="0" borderId="1" xfId="0" applyNumberFormat="1" applyFont="1" applyBorder="1" applyAlignment="1" applyProtection="1">
      <alignment vertical="center"/>
    </xf>
    <xf numFmtId="0" fontId="6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left" vertical="center"/>
    </xf>
    <xf numFmtId="164" fontId="6" fillId="0" borderId="18" xfId="0" applyNumberFormat="1" applyFont="1" applyBorder="1" applyAlignment="1" applyProtection="1">
      <alignment horizontal="right" vertical="center"/>
    </xf>
    <xf numFmtId="164" fontId="6" fillId="0" borderId="19" xfId="0" applyNumberFormat="1" applyFont="1" applyBorder="1" applyAlignment="1">
      <alignment vertical="center"/>
    </xf>
    <xf numFmtId="164" fontId="6" fillId="0" borderId="18" xfId="0" applyNumberFormat="1" applyFont="1" applyBorder="1" applyAlignment="1" applyProtection="1">
      <alignment vertical="center"/>
    </xf>
    <xf numFmtId="164" fontId="6" fillId="0" borderId="17" xfId="0" applyNumberFormat="1" applyFont="1" applyBorder="1" applyAlignment="1" applyProtection="1">
      <alignment horizontal="right" vertical="center"/>
    </xf>
    <xf numFmtId="164" fontId="6" fillId="0" borderId="2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Border="1"/>
    <xf numFmtId="165" fontId="7" fillId="0" borderId="0" xfId="0" applyNumberFormat="1" applyFont="1" applyBorder="1" applyProtection="1"/>
    <xf numFmtId="0" fontId="7" fillId="0" borderId="0" xfId="0" quotePrefix="1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/>
    <xf numFmtId="0" fontId="9" fillId="0" borderId="0" xfId="0" applyFont="1" applyBorder="1"/>
    <xf numFmtId="2" fontId="9" fillId="0" borderId="9" xfId="0" applyNumberFormat="1" applyFont="1" applyBorder="1" applyAlignment="1" applyProtection="1">
      <alignment horizontal="center" vertical="center"/>
    </xf>
    <xf numFmtId="2" fontId="9" fillId="0" borderId="24" xfId="0" applyNumberFormat="1" applyFont="1" applyBorder="1" applyAlignment="1" applyProtection="1">
      <alignment horizontal="center" vertical="center"/>
    </xf>
    <xf numFmtId="1" fontId="9" fillId="0" borderId="14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/>
    </xf>
    <xf numFmtId="164" fontId="9" fillId="0" borderId="2" xfId="0" applyNumberFormat="1" applyFont="1" applyBorder="1" applyAlignment="1" applyProtection="1">
      <alignment vertical="center"/>
    </xf>
    <xf numFmtId="164" fontId="9" fillId="0" borderId="15" xfId="0" applyNumberFormat="1" applyFont="1" applyBorder="1" applyAlignment="1" applyProtection="1">
      <alignment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left" vertical="center"/>
    </xf>
    <xf numFmtId="164" fontId="7" fillId="0" borderId="2" xfId="0" applyNumberFormat="1" applyFont="1" applyBorder="1" applyAlignment="1" applyProtection="1">
      <alignment vertical="center"/>
    </xf>
    <xf numFmtId="164" fontId="7" fillId="0" borderId="15" xfId="0" applyNumberFormat="1" applyFont="1" applyBorder="1" applyAlignment="1" applyProtection="1">
      <alignment vertical="center"/>
    </xf>
    <xf numFmtId="1" fontId="8" fillId="0" borderId="14" xfId="0" applyNumberFormat="1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left" vertical="center"/>
    </xf>
    <xf numFmtId="164" fontId="8" fillId="0" borderId="2" xfId="0" applyNumberFormat="1" applyFont="1" applyBorder="1" applyAlignment="1" applyProtection="1">
      <alignment horizontal="center" vertical="center"/>
    </xf>
    <xf numFmtId="164" fontId="8" fillId="0" borderId="2" xfId="0" applyNumberFormat="1" applyFont="1" applyBorder="1" applyAlignment="1" applyProtection="1">
      <alignment vertical="center"/>
    </xf>
    <xf numFmtId="164" fontId="8" fillId="0" borderId="15" xfId="0" applyNumberFormat="1" applyFont="1" applyBorder="1" applyAlignment="1" applyProtection="1">
      <alignment vertical="center"/>
    </xf>
    <xf numFmtId="165" fontId="8" fillId="0" borderId="0" xfId="0" applyNumberFormat="1" applyFont="1" applyBorder="1" applyProtection="1"/>
    <xf numFmtId="165" fontId="9" fillId="0" borderId="0" xfId="0" applyNumberFormat="1" applyFont="1" applyBorder="1" applyProtection="1"/>
    <xf numFmtId="1" fontId="9" fillId="0" borderId="14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vertical="center"/>
    </xf>
    <xf numFmtId="1" fontId="8" fillId="0" borderId="14" xfId="0" applyNumberFormat="1" applyFont="1" applyBorder="1" applyAlignment="1">
      <alignment vertical="center"/>
    </xf>
    <xf numFmtId="1" fontId="8" fillId="0" borderId="16" xfId="0" applyNumberFormat="1" applyFont="1" applyBorder="1" applyAlignment="1">
      <alignment vertical="center"/>
    </xf>
    <xf numFmtId="0" fontId="8" fillId="0" borderId="17" xfId="0" applyFont="1" applyBorder="1" applyAlignment="1" applyProtection="1">
      <alignment horizontal="left" vertical="center"/>
    </xf>
    <xf numFmtId="164" fontId="8" fillId="0" borderId="17" xfId="0" applyNumberFormat="1" applyFont="1" applyBorder="1" applyAlignment="1" applyProtection="1">
      <alignment vertical="center"/>
    </xf>
    <xf numFmtId="164" fontId="8" fillId="0" borderId="20" xfId="0" applyNumberFormat="1" applyFont="1" applyBorder="1" applyAlignment="1" applyProtection="1">
      <alignment vertical="center"/>
    </xf>
    <xf numFmtId="1" fontId="7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1" fontId="8" fillId="0" borderId="0" xfId="0" applyNumberFormat="1" applyFont="1" applyBorder="1"/>
    <xf numFmtId="1" fontId="2" fillId="0" borderId="0" xfId="0" applyNumberFormat="1" applyFont="1" applyBorder="1"/>
    <xf numFmtId="0" fontId="10" fillId="0" borderId="0" xfId="0" applyFont="1" applyBorder="1"/>
    <xf numFmtId="0" fontId="10" fillId="0" borderId="9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1" fontId="10" fillId="0" borderId="14" xfId="0" applyNumberFormat="1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left" vertical="center"/>
    </xf>
    <xf numFmtId="164" fontId="10" fillId="0" borderId="2" xfId="0" applyNumberFormat="1" applyFont="1" applyBorder="1" applyAlignment="1" applyProtection="1">
      <alignment vertical="center"/>
    </xf>
    <xf numFmtId="164" fontId="10" fillId="0" borderId="15" xfId="0" applyNumberFormat="1" applyFont="1" applyBorder="1" applyAlignment="1" applyProtection="1">
      <alignment vertical="center"/>
    </xf>
    <xf numFmtId="1" fontId="11" fillId="0" borderId="14" xfId="0" applyNumberFormat="1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left" vertical="center"/>
    </xf>
    <xf numFmtId="164" fontId="11" fillId="0" borderId="2" xfId="0" applyNumberFormat="1" applyFont="1" applyBorder="1" applyAlignment="1" applyProtection="1">
      <alignment vertical="center"/>
    </xf>
    <xf numFmtId="164" fontId="11" fillId="0" borderId="15" xfId="0" applyNumberFormat="1" applyFont="1" applyBorder="1" applyAlignment="1" applyProtection="1">
      <alignment vertical="center"/>
    </xf>
    <xf numFmtId="0" fontId="11" fillId="0" borderId="0" xfId="0" applyFont="1" applyBorder="1"/>
    <xf numFmtId="165" fontId="11" fillId="0" borderId="0" xfId="0" applyNumberFormat="1" applyFont="1" applyBorder="1" applyProtection="1"/>
    <xf numFmtId="1" fontId="12" fillId="0" borderId="14" xfId="0" applyNumberFormat="1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/>
    </xf>
    <xf numFmtId="164" fontId="12" fillId="0" borderId="2" xfId="0" applyNumberFormat="1" applyFont="1" applyBorder="1" applyAlignment="1" applyProtection="1">
      <alignment horizontal="right" vertical="center"/>
    </xf>
    <xf numFmtId="164" fontId="12" fillId="0" borderId="2" xfId="0" applyNumberFormat="1" applyFont="1" applyBorder="1" applyAlignment="1" applyProtection="1">
      <alignment vertical="center"/>
    </xf>
    <xf numFmtId="164" fontId="12" fillId="0" borderId="15" xfId="0" applyNumberFormat="1" applyFont="1" applyBorder="1" applyAlignment="1" applyProtection="1">
      <alignment vertical="center"/>
    </xf>
    <xf numFmtId="0" fontId="12" fillId="0" borderId="0" xfId="0" applyFont="1" applyBorder="1"/>
    <xf numFmtId="165" fontId="12" fillId="0" borderId="0" xfId="0" applyNumberFormat="1" applyFont="1" applyBorder="1" applyProtection="1"/>
    <xf numFmtId="165" fontId="10" fillId="0" borderId="0" xfId="0" applyNumberFormat="1" applyFont="1" applyBorder="1" applyProtection="1"/>
    <xf numFmtId="1" fontId="10" fillId="0" borderId="14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vertical="center"/>
    </xf>
    <xf numFmtId="1" fontId="12" fillId="0" borderId="14" xfId="0" applyNumberFormat="1" applyFont="1" applyBorder="1" applyAlignment="1">
      <alignment vertical="center"/>
    </xf>
    <xf numFmtId="1" fontId="12" fillId="0" borderId="16" xfId="0" applyNumberFormat="1" applyFont="1" applyBorder="1" applyAlignment="1">
      <alignment vertical="center"/>
    </xf>
    <xf numFmtId="0" fontId="12" fillId="0" borderId="17" xfId="0" applyFont="1" applyBorder="1" applyAlignment="1" applyProtection="1">
      <alignment horizontal="left" vertical="center"/>
    </xf>
    <xf numFmtId="164" fontId="12" fillId="0" borderId="17" xfId="0" applyNumberFormat="1" applyFont="1" applyBorder="1" applyAlignment="1" applyProtection="1">
      <alignment vertical="center"/>
    </xf>
    <xf numFmtId="164" fontId="12" fillId="0" borderId="20" xfId="0" applyNumberFormat="1" applyFont="1" applyBorder="1" applyAlignment="1" applyProtection="1">
      <alignment vertical="center"/>
    </xf>
    <xf numFmtId="1" fontId="11" fillId="0" borderId="0" xfId="0" applyNumberFormat="1" applyFont="1" applyBorder="1" applyAlignment="1">
      <alignment horizontal="left"/>
    </xf>
    <xf numFmtId="0" fontId="11" fillId="0" borderId="0" xfId="0" applyFont="1" applyBorder="1" applyAlignment="1" applyProtection="1">
      <alignment horizontal="left"/>
    </xf>
    <xf numFmtId="49" fontId="11" fillId="0" borderId="0" xfId="0" applyNumberFormat="1" applyFont="1" applyBorder="1" applyAlignment="1">
      <alignment horizontal="left"/>
    </xf>
    <xf numFmtId="1" fontId="12" fillId="0" borderId="0" xfId="0" applyNumberFormat="1" applyFont="1" applyBorder="1"/>
    <xf numFmtId="0" fontId="13" fillId="0" borderId="0" xfId="0" applyFont="1" applyBorder="1"/>
    <xf numFmtId="166" fontId="10" fillId="0" borderId="9" xfId="0" applyNumberFormat="1" applyFont="1" applyBorder="1" applyAlignment="1" applyProtection="1">
      <alignment horizontal="center" vertical="center"/>
    </xf>
    <xf numFmtId="166" fontId="10" fillId="0" borderId="24" xfId="0" applyNumberFormat="1" applyFont="1" applyBorder="1" applyAlignment="1" applyProtection="1">
      <alignment horizontal="center" vertical="center"/>
    </xf>
    <xf numFmtId="164" fontId="12" fillId="0" borderId="15" xfId="0" applyNumberFormat="1" applyFont="1" applyBorder="1" applyAlignment="1" applyProtection="1">
      <alignment horizontal="right" vertical="center"/>
    </xf>
    <xf numFmtId="164" fontId="11" fillId="0" borderId="2" xfId="0" applyNumberFormat="1" applyFont="1" applyBorder="1" applyAlignment="1" applyProtection="1">
      <alignment horizontal="right" vertical="center"/>
    </xf>
    <xf numFmtId="164" fontId="11" fillId="0" borderId="15" xfId="0" applyNumberFormat="1" applyFont="1" applyBorder="1" applyAlignment="1" applyProtection="1">
      <alignment horizontal="right" vertical="center"/>
    </xf>
    <xf numFmtId="1" fontId="12" fillId="0" borderId="0" xfId="0" applyNumberFormat="1" applyFont="1" applyBorder="1" applyAlignment="1">
      <alignment horizontal="left"/>
    </xf>
    <xf numFmtId="0" fontId="15" fillId="0" borderId="0" xfId="0" applyFont="1" applyBorder="1"/>
    <xf numFmtId="0" fontId="10" fillId="0" borderId="9" xfId="0" applyFont="1" applyBorder="1" applyAlignment="1" applyProtection="1">
      <alignment horizontal="center"/>
    </xf>
    <xf numFmtId="0" fontId="10" fillId="0" borderId="24" xfId="0" applyFont="1" applyBorder="1" applyAlignment="1" applyProtection="1">
      <alignment horizontal="center"/>
    </xf>
    <xf numFmtId="1" fontId="10" fillId="0" borderId="14" xfId="0" applyNumberFormat="1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left"/>
    </xf>
    <xf numFmtId="1" fontId="11" fillId="0" borderId="14" xfId="0" applyNumberFormat="1" applyFont="1" applyBorder="1" applyAlignment="1">
      <alignment horizontal="center"/>
    </xf>
    <xf numFmtId="0" fontId="11" fillId="0" borderId="2" xfId="0" applyFont="1" applyBorder="1" applyAlignment="1" applyProtection="1">
      <alignment horizontal="left"/>
    </xf>
    <xf numFmtId="1" fontId="12" fillId="0" borderId="14" xfId="0" applyNumberFormat="1" applyFont="1" applyBorder="1" applyAlignment="1">
      <alignment horizontal="center"/>
    </xf>
    <xf numFmtId="0" fontId="12" fillId="0" borderId="2" xfId="0" applyFont="1" applyBorder="1" applyAlignment="1" applyProtection="1">
      <alignment horizontal="left"/>
    </xf>
    <xf numFmtId="1" fontId="10" fillId="0" borderId="14" xfId="0" applyNumberFormat="1" applyFont="1" applyBorder="1" applyAlignment="1">
      <alignment horizontal="center"/>
    </xf>
    <xf numFmtId="1" fontId="11" fillId="0" borderId="14" xfId="0" applyNumberFormat="1" applyFont="1" applyBorder="1"/>
    <xf numFmtId="1" fontId="12" fillId="0" borderId="14" xfId="0" applyNumberFormat="1" applyFont="1" applyBorder="1"/>
    <xf numFmtId="1" fontId="12" fillId="0" borderId="16" xfId="0" applyNumberFormat="1" applyFont="1" applyBorder="1"/>
    <xf numFmtId="0" fontId="12" fillId="0" borderId="17" xfId="0" applyFont="1" applyBorder="1" applyAlignment="1" applyProtection="1">
      <alignment horizontal="left"/>
    </xf>
    <xf numFmtId="164" fontId="10" fillId="0" borderId="2" xfId="0" applyNumberFormat="1" applyFont="1" applyBorder="1" applyProtection="1"/>
    <xf numFmtId="164" fontId="10" fillId="0" borderId="15" xfId="0" applyNumberFormat="1" applyFont="1" applyBorder="1" applyProtection="1"/>
    <xf numFmtId="164" fontId="11" fillId="0" borderId="2" xfId="0" applyNumberFormat="1" applyFont="1" applyBorder="1" applyProtection="1"/>
    <xf numFmtId="164" fontId="11" fillId="0" borderId="15" xfId="0" applyNumberFormat="1" applyFont="1" applyBorder="1" applyProtection="1"/>
    <xf numFmtId="164" fontId="12" fillId="0" borderId="2" xfId="0" applyNumberFormat="1" applyFont="1" applyBorder="1" applyAlignment="1" applyProtection="1">
      <alignment horizontal="right"/>
    </xf>
    <xf numFmtId="164" fontId="12" fillId="0" borderId="15" xfId="0" applyNumberFormat="1" applyFont="1" applyBorder="1" applyAlignment="1" applyProtection="1">
      <alignment horizontal="right"/>
    </xf>
    <xf numFmtId="164" fontId="11" fillId="0" borderId="2" xfId="0" applyNumberFormat="1" applyFont="1" applyBorder="1" applyAlignment="1" applyProtection="1">
      <alignment horizontal="right"/>
    </xf>
    <xf numFmtId="164" fontId="11" fillId="0" borderId="15" xfId="0" applyNumberFormat="1" applyFont="1" applyBorder="1" applyAlignment="1" applyProtection="1">
      <alignment horizontal="right"/>
    </xf>
    <xf numFmtId="164" fontId="12" fillId="0" borderId="2" xfId="0" applyNumberFormat="1" applyFont="1" applyBorder="1" applyProtection="1"/>
    <xf numFmtId="164" fontId="12" fillId="0" borderId="15" xfId="0" applyNumberFormat="1" applyFont="1" applyBorder="1" applyProtection="1"/>
    <xf numFmtId="164" fontId="12" fillId="0" borderId="17" xfId="0" applyNumberFormat="1" applyFont="1" applyBorder="1" applyProtection="1"/>
    <xf numFmtId="164" fontId="12" fillId="0" borderId="20" xfId="0" applyNumberFormat="1" applyFont="1" applyBorder="1" applyProtection="1"/>
    <xf numFmtId="1" fontId="11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14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Continuous"/>
    </xf>
    <xf numFmtId="0" fontId="10" fillId="0" borderId="0" xfId="0" applyFont="1" applyBorder="1" applyAlignment="1" applyProtection="1">
      <alignment horizontal="right"/>
    </xf>
    <xf numFmtId="165" fontId="10" fillId="0" borderId="0" xfId="0" applyNumberFormat="1" applyFont="1" applyBorder="1" applyAlignment="1" applyProtection="1">
      <alignment horizontal="center"/>
    </xf>
    <xf numFmtId="165" fontId="11" fillId="0" borderId="0" xfId="0" applyNumberFormat="1" applyFont="1" applyBorder="1" applyAlignment="1" applyProtection="1">
      <alignment horizontal="center"/>
    </xf>
    <xf numFmtId="165" fontId="12" fillId="0" borderId="0" xfId="0" applyNumberFormat="1" applyFont="1" applyBorder="1" applyAlignment="1" applyProtection="1">
      <alignment horizontal="center"/>
    </xf>
    <xf numFmtId="165" fontId="12" fillId="0" borderId="0" xfId="0" applyNumberFormat="1" applyFont="1" applyBorder="1" applyAlignment="1" applyProtection="1">
      <alignment horizontal="right"/>
    </xf>
    <xf numFmtId="165" fontId="11" fillId="0" borderId="0" xfId="0" applyNumberFormat="1" applyFont="1" applyBorder="1" applyAlignment="1" applyProtection="1">
      <alignment horizontal="right"/>
    </xf>
    <xf numFmtId="0" fontId="12" fillId="0" borderId="0" xfId="0" applyFont="1" applyBorder="1" applyProtection="1"/>
    <xf numFmtId="0" fontId="10" fillId="0" borderId="0" xfId="0" applyFont="1" applyBorder="1" applyProtection="1"/>
    <xf numFmtId="49" fontId="11" fillId="0" borderId="0" xfId="0" applyNumberFormat="1" applyFont="1" applyBorder="1" applyAlignment="1">
      <alignment horizontal="center"/>
    </xf>
    <xf numFmtId="1" fontId="11" fillId="0" borderId="0" xfId="0" applyNumberFormat="1" applyFont="1" applyBorder="1"/>
    <xf numFmtId="165" fontId="2" fillId="0" borderId="0" xfId="0" applyNumberFormat="1" applyFont="1" applyBorder="1" applyAlignment="1" applyProtection="1">
      <alignment horizontal="right"/>
    </xf>
    <xf numFmtId="164" fontId="12" fillId="0" borderId="0" xfId="0" applyNumberFormat="1" applyFont="1" applyBorder="1" applyAlignment="1" applyProtection="1">
      <alignment vertical="center"/>
    </xf>
    <xf numFmtId="166" fontId="12" fillId="0" borderId="0" xfId="0" applyNumberFormat="1" applyFont="1" applyBorder="1" applyAlignment="1" applyProtection="1">
      <alignment vertical="center"/>
    </xf>
    <xf numFmtId="165" fontId="2" fillId="0" borderId="0" xfId="0" applyNumberFormat="1" applyFont="1" applyBorder="1" applyProtection="1"/>
    <xf numFmtId="49" fontId="2" fillId="0" borderId="0" xfId="0" applyNumberFormat="1" applyFont="1" applyBorder="1" applyAlignment="1">
      <alignment horizontal="center"/>
    </xf>
    <xf numFmtId="0" fontId="17" fillId="0" borderId="0" xfId="0" applyFont="1" applyBorder="1"/>
    <xf numFmtId="0" fontId="10" fillId="0" borderId="24" xfId="0" applyFont="1" applyBorder="1" applyAlignment="1" applyProtection="1">
      <alignment horizontal="center" vertical="center" wrapText="1"/>
    </xf>
    <xf numFmtId="164" fontId="10" fillId="0" borderId="2" xfId="0" applyNumberFormat="1" applyFont="1" applyBorder="1" applyAlignment="1" applyProtection="1">
      <alignment horizontal="right" vertical="center"/>
    </xf>
    <xf numFmtId="164" fontId="10" fillId="0" borderId="15" xfId="0" applyNumberFormat="1" applyFont="1" applyBorder="1" applyAlignment="1" applyProtection="1">
      <alignment horizontal="right" vertical="center"/>
    </xf>
    <xf numFmtId="164" fontId="12" fillId="0" borderId="2" xfId="0" applyNumberFormat="1" applyFont="1" applyBorder="1" applyAlignment="1">
      <alignment horizontal="right" vertical="center"/>
    </xf>
    <xf numFmtId="164" fontId="12" fillId="0" borderId="15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1" fillId="0" borderId="15" xfId="0" applyNumberFormat="1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164" fontId="10" fillId="0" borderId="15" xfId="0" applyNumberFormat="1" applyFont="1" applyBorder="1" applyAlignment="1">
      <alignment horizontal="right" vertical="center"/>
    </xf>
    <xf numFmtId="164" fontId="12" fillId="0" borderId="17" xfId="0" applyNumberFormat="1" applyFont="1" applyBorder="1" applyAlignment="1" applyProtection="1">
      <alignment horizontal="right" vertical="center"/>
    </xf>
    <xf numFmtId="164" fontId="12" fillId="0" borderId="17" xfId="0" applyNumberFormat="1" applyFont="1" applyBorder="1" applyAlignment="1">
      <alignment horizontal="right" vertical="center"/>
    </xf>
    <xf numFmtId="164" fontId="12" fillId="0" borderId="20" xfId="0" applyNumberFormat="1" applyFont="1" applyBorder="1" applyAlignment="1">
      <alignment horizontal="right" vertical="center"/>
    </xf>
    <xf numFmtId="0" fontId="11" fillId="0" borderId="26" xfId="0" applyFont="1" applyBorder="1"/>
    <xf numFmtId="0" fontId="12" fillId="0" borderId="26" xfId="0" applyFont="1" applyBorder="1"/>
    <xf numFmtId="1" fontId="12" fillId="0" borderId="0" xfId="0" applyNumberFormat="1" applyFont="1" applyBorder="1" applyAlignment="1">
      <alignment horizontal="center"/>
    </xf>
    <xf numFmtId="1" fontId="17" fillId="0" borderId="0" xfId="0" applyNumberFormat="1" applyFont="1" applyBorder="1"/>
    <xf numFmtId="165" fontId="17" fillId="0" borderId="0" xfId="0" applyNumberFormat="1" applyFont="1" applyBorder="1" applyProtection="1"/>
    <xf numFmtId="49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 applyProtection="1">
      <alignment horizontal="left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9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9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1" fontId="10" fillId="0" borderId="14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left"/>
      <protection locked="0"/>
    </xf>
    <xf numFmtId="164" fontId="10" fillId="0" borderId="2" xfId="0" applyNumberFormat="1" applyFont="1" applyBorder="1" applyAlignment="1" applyProtection="1">
      <alignment horizontal="right" vertical="center"/>
      <protection locked="0"/>
    </xf>
    <xf numFmtId="164" fontId="10" fillId="0" borderId="15" xfId="0" applyNumberFormat="1" applyFont="1" applyBorder="1" applyAlignment="1" applyProtection="1">
      <alignment horizontal="right" vertical="center"/>
      <protection locked="0"/>
    </xf>
    <xf numFmtId="164" fontId="10" fillId="0" borderId="2" xfId="0" applyNumberFormat="1" applyFont="1" applyFill="1" applyBorder="1" applyAlignment="1" applyProtection="1">
      <alignment horizontal="right" vertical="center"/>
      <protection locked="0"/>
    </xf>
    <xf numFmtId="164" fontId="10" fillId="0" borderId="15" xfId="0" applyNumberFormat="1" applyFont="1" applyFill="1" applyBorder="1" applyAlignment="1" applyProtection="1">
      <alignment horizontal="right" vertical="center"/>
      <protection locked="0"/>
    </xf>
    <xf numFmtId="164" fontId="18" fillId="0" borderId="2" xfId="0" applyNumberFormat="1" applyFont="1" applyFill="1" applyBorder="1" applyAlignment="1" applyProtection="1">
      <alignment horizontal="right" vertical="center"/>
      <protection locked="0"/>
    </xf>
    <xf numFmtId="164" fontId="18" fillId="0" borderId="15" xfId="0" applyNumberFormat="1" applyFont="1" applyFill="1" applyBorder="1" applyAlignment="1" applyProtection="1">
      <alignment horizontal="right" vertical="center"/>
      <protection locked="0"/>
    </xf>
    <xf numFmtId="1" fontId="11" fillId="0" borderId="14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left"/>
      <protection locked="0"/>
    </xf>
    <xf numFmtId="164" fontId="11" fillId="0" borderId="2" xfId="0" applyNumberFormat="1" applyFont="1" applyBorder="1" applyAlignment="1" applyProtection="1">
      <alignment horizontal="right" vertical="center"/>
      <protection locked="0"/>
    </xf>
    <xf numFmtId="164" fontId="11" fillId="0" borderId="15" xfId="0" applyNumberFormat="1" applyFont="1" applyBorder="1" applyAlignment="1" applyProtection="1">
      <alignment horizontal="right" vertical="center"/>
      <protection locked="0"/>
    </xf>
    <xf numFmtId="164" fontId="11" fillId="0" borderId="2" xfId="0" applyNumberFormat="1" applyFont="1" applyFill="1" applyBorder="1" applyAlignment="1" applyProtection="1">
      <alignment horizontal="right" vertical="center"/>
      <protection locked="0"/>
    </xf>
    <xf numFmtId="164" fontId="11" fillId="0" borderId="15" xfId="0" applyNumberFormat="1" applyFont="1" applyFill="1" applyBorder="1" applyAlignment="1" applyProtection="1">
      <alignment horizontal="right" vertical="center"/>
      <protection locked="0"/>
    </xf>
    <xf numFmtId="164" fontId="19" fillId="0" borderId="2" xfId="0" applyNumberFormat="1" applyFont="1" applyFill="1" applyBorder="1" applyAlignment="1" applyProtection="1">
      <alignment horizontal="right" vertical="center"/>
      <protection locked="0"/>
    </xf>
    <xf numFmtId="164" fontId="19" fillId="0" borderId="15" xfId="0" applyNumberFormat="1" applyFont="1" applyFill="1" applyBorder="1" applyAlignment="1" applyProtection="1">
      <alignment horizontal="right" vertical="center"/>
      <protection locked="0"/>
    </xf>
    <xf numFmtId="1" fontId="12" fillId="0" borderId="14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left"/>
      <protection locked="0"/>
    </xf>
    <xf numFmtId="164" fontId="12" fillId="0" borderId="2" xfId="0" applyNumberFormat="1" applyFont="1" applyFill="1" applyBorder="1" applyAlignment="1">
      <alignment horizontal="right" vertical="center"/>
    </xf>
    <xf numFmtId="164" fontId="12" fillId="0" borderId="15" xfId="0" applyNumberFormat="1" applyFont="1" applyFill="1" applyBorder="1" applyAlignment="1">
      <alignment horizontal="right" vertical="center"/>
    </xf>
    <xf numFmtId="164" fontId="20" fillId="0" borderId="2" xfId="0" applyNumberFormat="1" applyFont="1" applyFill="1" applyBorder="1" applyAlignment="1">
      <alignment horizontal="right" vertical="center"/>
    </xf>
    <xf numFmtId="164" fontId="20" fillId="0" borderId="15" xfId="0" applyNumberFormat="1" applyFont="1" applyFill="1" applyBorder="1" applyAlignment="1">
      <alignment horizontal="right" vertical="center"/>
    </xf>
    <xf numFmtId="164" fontId="11" fillId="0" borderId="2" xfId="0" applyNumberFormat="1" applyFont="1" applyFill="1" applyBorder="1" applyAlignment="1">
      <alignment horizontal="right" vertical="center"/>
    </xf>
    <xf numFmtId="164" fontId="11" fillId="0" borderId="15" xfId="0" applyNumberFormat="1" applyFont="1" applyFill="1" applyBorder="1" applyAlignment="1">
      <alignment horizontal="right" vertical="center"/>
    </xf>
    <xf numFmtId="164" fontId="19" fillId="0" borderId="2" xfId="0" applyNumberFormat="1" applyFont="1" applyFill="1" applyBorder="1" applyAlignment="1">
      <alignment horizontal="right" vertical="center"/>
    </xf>
    <xf numFmtId="164" fontId="19" fillId="0" borderId="15" xfId="0" applyNumberFormat="1" applyFont="1" applyFill="1" applyBorder="1" applyAlignment="1">
      <alignment horizontal="right" vertical="center"/>
    </xf>
    <xf numFmtId="164" fontId="10" fillId="0" borderId="2" xfId="0" applyNumberFormat="1" applyFont="1" applyFill="1" applyBorder="1" applyAlignment="1">
      <alignment horizontal="right" vertical="center"/>
    </xf>
    <xf numFmtId="164" fontId="18" fillId="0" borderId="2" xfId="0" applyNumberFormat="1" applyFont="1" applyFill="1" applyBorder="1" applyAlignment="1">
      <alignment horizontal="right" vertical="center"/>
    </xf>
    <xf numFmtId="164" fontId="12" fillId="0" borderId="2" xfId="0" applyNumberFormat="1" applyFont="1" applyFill="1" applyBorder="1" applyAlignment="1" applyProtection="1">
      <alignment horizontal="right" vertical="center"/>
      <protection locked="0"/>
    </xf>
    <xf numFmtId="164" fontId="20" fillId="0" borderId="2" xfId="0" applyNumberFormat="1" applyFont="1" applyFill="1" applyBorder="1" applyAlignment="1" applyProtection="1">
      <alignment horizontal="right" vertical="center"/>
      <protection locked="0"/>
    </xf>
    <xf numFmtId="164" fontId="11" fillId="0" borderId="2" xfId="0" applyNumberFormat="1" applyFont="1" applyFill="1" applyBorder="1" applyAlignment="1" applyProtection="1">
      <alignment horizontal="right" vertical="center"/>
    </xf>
    <xf numFmtId="164" fontId="19" fillId="0" borderId="2" xfId="0" applyNumberFormat="1" applyFont="1" applyFill="1" applyBorder="1" applyAlignment="1" applyProtection="1">
      <alignment horizontal="right" vertical="center"/>
    </xf>
    <xf numFmtId="164" fontId="10" fillId="0" borderId="15" xfId="0" applyNumberFormat="1" applyFont="1" applyFill="1" applyBorder="1" applyAlignment="1" applyProtection="1">
      <alignment horizontal="right" vertical="center"/>
    </xf>
    <xf numFmtId="164" fontId="18" fillId="0" borderId="15" xfId="0" applyNumberFormat="1" applyFont="1" applyFill="1" applyBorder="1" applyAlignment="1" applyProtection="1">
      <alignment horizontal="right" vertical="center"/>
    </xf>
    <xf numFmtId="164" fontId="12" fillId="0" borderId="2" xfId="0" applyNumberFormat="1" applyFont="1" applyFill="1" applyBorder="1" applyAlignment="1" applyProtection="1">
      <alignment horizontal="right" vertical="center"/>
    </xf>
    <xf numFmtId="164" fontId="20" fillId="0" borderId="2" xfId="0" applyNumberFormat="1" applyFont="1" applyFill="1" applyBorder="1" applyAlignment="1" applyProtection="1">
      <alignment horizontal="right" vertical="center"/>
    </xf>
    <xf numFmtId="164" fontId="10" fillId="0" borderId="2" xfId="0" applyNumberFormat="1" applyFont="1" applyFill="1" applyBorder="1" applyAlignment="1" applyProtection="1">
      <alignment horizontal="right" vertical="center"/>
    </xf>
    <xf numFmtId="164" fontId="10" fillId="0" borderId="1" xfId="0" applyNumberFormat="1" applyFont="1" applyFill="1" applyBorder="1" applyAlignment="1">
      <alignment horizontal="right" vertical="center"/>
    </xf>
    <xf numFmtId="164" fontId="18" fillId="0" borderId="1" xfId="0" applyNumberFormat="1" applyFont="1" applyFill="1" applyBorder="1" applyAlignment="1">
      <alignment horizontal="right" vertical="center"/>
    </xf>
    <xf numFmtId="164" fontId="18" fillId="0" borderId="2" xfId="0" applyNumberFormat="1" applyFont="1" applyFill="1" applyBorder="1" applyAlignment="1" applyProtection="1">
      <alignment horizontal="right" vertical="center"/>
    </xf>
    <xf numFmtId="164" fontId="11" fillId="0" borderId="1" xfId="0" applyNumberFormat="1" applyFont="1" applyFill="1" applyBorder="1" applyAlignment="1">
      <alignment horizontal="right" vertical="center"/>
    </xf>
    <xf numFmtId="164" fontId="11" fillId="0" borderId="15" xfId="0" applyNumberFormat="1" applyFont="1" applyFill="1" applyBorder="1" applyAlignment="1" applyProtection="1">
      <alignment horizontal="right" vertical="center"/>
    </xf>
    <xf numFmtId="164" fontId="19" fillId="0" borderId="1" xfId="0" applyNumberFormat="1" applyFont="1" applyFill="1" applyBorder="1" applyAlignment="1">
      <alignment horizontal="right" vertical="center"/>
    </xf>
    <xf numFmtId="164" fontId="19" fillId="0" borderId="15" xfId="0" applyNumberFormat="1" applyFont="1" applyFill="1" applyBorder="1" applyAlignment="1" applyProtection="1">
      <alignment horizontal="right" vertical="center"/>
    </xf>
    <xf numFmtId="164" fontId="12" fillId="0" borderId="1" xfId="0" applyNumberFormat="1" applyFont="1" applyFill="1" applyBorder="1" applyAlignment="1" applyProtection="1">
      <alignment horizontal="right" vertical="center"/>
    </xf>
    <xf numFmtId="164" fontId="20" fillId="0" borderId="1" xfId="0" applyNumberFormat="1" applyFont="1" applyFill="1" applyBorder="1" applyAlignment="1" applyProtection="1">
      <alignment horizontal="right" vertical="center"/>
    </xf>
    <xf numFmtId="164" fontId="11" fillId="0" borderId="1" xfId="0" applyNumberFormat="1" applyFont="1" applyFill="1" applyBorder="1" applyAlignment="1" applyProtection="1">
      <alignment horizontal="right" vertical="center"/>
    </xf>
    <xf numFmtId="164" fontId="19" fillId="0" borderId="1" xfId="0" applyNumberFormat="1" applyFont="1" applyFill="1" applyBorder="1" applyAlignment="1" applyProtection="1">
      <alignment horizontal="right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20" fillId="0" borderId="1" xfId="0" applyNumberFormat="1" applyFont="1" applyFill="1" applyBorder="1" applyAlignment="1">
      <alignment horizontal="right" vertical="center"/>
    </xf>
    <xf numFmtId="164" fontId="18" fillId="0" borderId="15" xfId="0" applyNumberFormat="1" applyFont="1" applyFill="1" applyBorder="1" applyAlignment="1">
      <alignment horizontal="right" vertical="center"/>
    </xf>
    <xf numFmtId="164" fontId="10" fillId="0" borderId="15" xfId="0" applyNumberFormat="1" applyFont="1" applyFill="1" applyBorder="1" applyAlignment="1">
      <alignment horizontal="right" vertical="center"/>
    </xf>
    <xf numFmtId="164" fontId="11" fillId="0" borderId="3" xfId="0" applyNumberFormat="1" applyFont="1" applyFill="1" applyBorder="1" applyAlignment="1" applyProtection="1">
      <alignment horizontal="right" vertical="center"/>
    </xf>
    <xf numFmtId="164" fontId="10" fillId="0" borderId="27" xfId="0" applyNumberFormat="1" applyFont="1" applyFill="1" applyBorder="1" applyAlignment="1" applyProtection="1">
      <alignment horizontal="right" vertical="center"/>
    </xf>
    <xf numFmtId="164" fontId="19" fillId="0" borderId="3" xfId="0" applyNumberFormat="1" applyFont="1" applyFill="1" applyBorder="1" applyAlignment="1" applyProtection="1">
      <alignment horizontal="right" vertical="center"/>
    </xf>
    <xf numFmtId="164" fontId="18" fillId="0" borderId="27" xfId="0" applyNumberFormat="1" applyFont="1" applyFill="1" applyBorder="1" applyAlignment="1" applyProtection="1">
      <alignment horizontal="right" vertical="center"/>
    </xf>
    <xf numFmtId="1" fontId="11" fillId="0" borderId="14" xfId="0" applyNumberFormat="1" applyFont="1" applyBorder="1" applyProtection="1">
      <protection locked="0"/>
    </xf>
    <xf numFmtId="1" fontId="12" fillId="0" borderId="14" xfId="0" applyNumberFormat="1" applyFont="1" applyBorder="1" applyProtection="1">
      <protection locked="0"/>
    </xf>
    <xf numFmtId="0" fontId="12" fillId="0" borderId="2" xfId="0" applyFont="1" applyBorder="1"/>
    <xf numFmtId="166" fontId="12" fillId="0" borderId="2" xfId="0" applyNumberFormat="1" applyFont="1" applyBorder="1"/>
    <xf numFmtId="164" fontId="12" fillId="0" borderId="15" xfId="0" applyNumberFormat="1" applyFont="1" applyFill="1" applyBorder="1" applyAlignment="1" applyProtection="1">
      <alignment horizontal="right" vertical="center"/>
    </xf>
    <xf numFmtId="0" fontId="20" fillId="0" borderId="2" xfId="0" applyFont="1" applyBorder="1"/>
    <xf numFmtId="166" fontId="20" fillId="0" borderId="2" xfId="0" applyNumberFormat="1" applyFont="1" applyBorder="1"/>
    <xf numFmtId="164" fontId="20" fillId="0" borderId="15" xfId="0" applyNumberFormat="1" applyFont="1" applyFill="1" applyBorder="1" applyAlignment="1" applyProtection="1">
      <alignment horizontal="right" vertical="center"/>
    </xf>
    <xf numFmtId="1" fontId="11" fillId="0" borderId="16" xfId="0" applyNumberFormat="1" applyFont="1" applyBorder="1" applyProtection="1">
      <protection locked="0"/>
    </xf>
    <xf numFmtId="0" fontId="11" fillId="0" borderId="17" xfId="0" applyFont="1" applyBorder="1" applyAlignment="1" applyProtection="1">
      <alignment horizontal="left"/>
      <protection locked="0"/>
    </xf>
    <xf numFmtId="164" fontId="11" fillId="0" borderId="17" xfId="0" applyNumberFormat="1" applyFont="1" applyBorder="1" applyAlignment="1" applyProtection="1">
      <alignment horizontal="right" vertical="center"/>
    </xf>
    <xf numFmtId="164" fontId="11" fillId="0" borderId="20" xfId="0" applyNumberFormat="1" applyFont="1" applyBorder="1" applyAlignment="1" applyProtection="1">
      <alignment horizontal="right" vertical="center"/>
    </xf>
    <xf numFmtId="0" fontId="11" fillId="0" borderId="17" xfId="0" applyFont="1" applyBorder="1"/>
    <xf numFmtId="0" fontId="11" fillId="0" borderId="20" xfId="0" applyFont="1" applyBorder="1"/>
    <xf numFmtId="0" fontId="19" fillId="0" borderId="17" xfId="0" applyFont="1" applyBorder="1"/>
    <xf numFmtId="0" fontId="19" fillId="0" borderId="20" xfId="0" applyFont="1" applyBorder="1"/>
    <xf numFmtId="1" fontId="12" fillId="0" borderId="0" xfId="0" applyNumberFormat="1" applyFont="1" applyBorder="1" applyProtection="1">
      <protection locked="0"/>
    </xf>
    <xf numFmtId="0" fontId="12" fillId="0" borderId="0" xfId="0" applyFont="1" applyBorder="1" applyAlignment="1" applyProtection="1">
      <alignment horizontal="left"/>
      <protection locked="0"/>
    </xf>
    <xf numFmtId="166" fontId="11" fillId="0" borderId="0" xfId="0" applyNumberFormat="1" applyFont="1" applyBorder="1" applyAlignment="1">
      <alignment horizontal="right" vertical="center"/>
    </xf>
    <xf numFmtId="166" fontId="17" fillId="0" borderId="0" xfId="0" applyNumberFormat="1" applyFont="1" applyBorder="1"/>
    <xf numFmtId="0" fontId="21" fillId="0" borderId="0" xfId="0" applyFont="1" applyBorder="1" applyAlignment="1"/>
    <xf numFmtId="0" fontId="22" fillId="0" borderId="0" xfId="0" applyFont="1" applyBorder="1"/>
    <xf numFmtId="0" fontId="23" fillId="0" borderId="0" xfId="0" applyFont="1" applyBorder="1" applyAlignment="1">
      <alignment horizontal="right"/>
    </xf>
    <xf numFmtId="0" fontId="23" fillId="0" borderId="25" xfId="0" applyFont="1" applyBorder="1" applyAlignment="1">
      <alignment horizontal="left"/>
    </xf>
    <xf numFmtId="0" fontId="6" fillId="0" borderId="25" xfId="0" applyFont="1" applyBorder="1"/>
    <xf numFmtId="0" fontId="23" fillId="0" borderId="25" xfId="0" applyFont="1" applyBorder="1" applyAlignment="1">
      <alignment horizontal="right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32" xfId="0" applyFont="1" applyFill="1" applyBorder="1" applyAlignment="1" applyProtection="1">
      <alignment horizontal="center"/>
      <protection locked="0"/>
    </xf>
    <xf numFmtId="0" fontId="10" fillId="2" borderId="33" xfId="0" applyFont="1" applyFill="1" applyBorder="1" applyAlignment="1" applyProtection="1">
      <alignment horizontal="center"/>
      <protection locked="0"/>
    </xf>
    <xf numFmtId="0" fontId="10" fillId="0" borderId="14" xfId="0" applyFont="1" applyBorder="1"/>
    <xf numFmtId="0" fontId="10" fillId="0" borderId="0" xfId="0" applyFont="1" applyBorder="1" applyAlignment="1" applyProtection="1">
      <alignment horizontal="left"/>
    </xf>
    <xf numFmtId="165" fontId="10" fillId="0" borderId="2" xfId="0" applyNumberFormat="1" applyFont="1" applyBorder="1" applyAlignment="1" applyProtection="1">
      <alignment horizontal="right"/>
    </xf>
    <xf numFmtId="165" fontId="10" fillId="0" borderId="15" xfId="0" applyNumberFormat="1" applyFont="1" applyBorder="1" applyAlignment="1" applyProtection="1">
      <alignment horizontal="right"/>
    </xf>
    <xf numFmtId="165" fontId="10" fillId="2" borderId="32" xfId="0" applyNumberFormat="1" applyFont="1" applyFill="1" applyBorder="1" applyAlignment="1" applyProtection="1">
      <alignment horizontal="right"/>
    </xf>
    <xf numFmtId="165" fontId="10" fillId="2" borderId="33" xfId="0" applyNumberFormat="1" applyFont="1" applyFill="1" applyBorder="1" applyAlignment="1" applyProtection="1">
      <alignment horizontal="right"/>
    </xf>
    <xf numFmtId="0" fontId="25" fillId="0" borderId="0" xfId="0" applyFont="1" applyBorder="1" applyAlignment="1" applyProtection="1">
      <alignment horizontal="left"/>
    </xf>
    <xf numFmtId="165" fontId="25" fillId="0" borderId="2" xfId="0" applyNumberFormat="1" applyFont="1" applyBorder="1" applyAlignment="1" applyProtection="1">
      <alignment horizontal="right"/>
    </xf>
    <xf numFmtId="165" fontId="25" fillId="0" borderId="15" xfId="0" applyNumberFormat="1" applyFont="1" applyBorder="1" applyAlignment="1" applyProtection="1">
      <alignment horizontal="right"/>
    </xf>
    <xf numFmtId="165" fontId="25" fillId="2" borderId="2" xfId="0" applyNumberFormat="1" applyFont="1" applyFill="1" applyBorder="1" applyAlignment="1" applyProtection="1">
      <alignment horizontal="right"/>
    </xf>
    <xf numFmtId="165" fontId="25" fillId="2" borderId="15" xfId="0" applyNumberFormat="1" applyFont="1" applyFill="1" applyBorder="1" applyAlignment="1" applyProtection="1">
      <alignment horizontal="right"/>
    </xf>
    <xf numFmtId="0" fontId="11" fillId="0" borderId="14" xfId="0" applyFont="1" applyBorder="1"/>
    <xf numFmtId="165" fontId="11" fillId="0" borderId="2" xfId="0" applyNumberFormat="1" applyFont="1" applyBorder="1" applyAlignment="1" applyProtection="1">
      <alignment horizontal="right"/>
    </xf>
    <xf numFmtId="165" fontId="11" fillId="0" borderId="15" xfId="0" applyNumberFormat="1" applyFont="1" applyBorder="1" applyAlignment="1" applyProtection="1">
      <alignment horizontal="right"/>
    </xf>
    <xf numFmtId="165" fontId="11" fillId="2" borderId="2" xfId="0" applyNumberFormat="1" applyFont="1" applyFill="1" applyBorder="1" applyAlignment="1" applyProtection="1">
      <alignment horizontal="right"/>
    </xf>
    <xf numFmtId="165" fontId="11" fillId="2" borderId="15" xfId="0" applyNumberFormat="1" applyFont="1" applyFill="1" applyBorder="1" applyAlignment="1" applyProtection="1">
      <alignment horizontal="right"/>
    </xf>
    <xf numFmtId="165" fontId="10" fillId="2" borderId="2" xfId="0" applyNumberFormat="1" applyFont="1" applyFill="1" applyBorder="1" applyAlignment="1" applyProtection="1">
      <alignment horizontal="right"/>
    </xf>
    <xf numFmtId="165" fontId="10" fillId="2" borderId="15" xfId="0" applyNumberFormat="1" applyFont="1" applyFill="1" applyBorder="1" applyAlignment="1" applyProtection="1">
      <alignment horizontal="right"/>
    </xf>
    <xf numFmtId="165" fontId="25" fillId="0" borderId="2" xfId="0" applyNumberFormat="1" applyFont="1" applyBorder="1"/>
    <xf numFmtId="165" fontId="25" fillId="0" borderId="15" xfId="0" applyNumberFormat="1" applyFont="1" applyBorder="1"/>
    <xf numFmtId="165" fontId="25" fillId="2" borderId="2" xfId="0" applyNumberFormat="1" applyFont="1" applyFill="1" applyBorder="1"/>
    <xf numFmtId="165" fontId="25" fillId="2" borderId="15" xfId="0" applyNumberFormat="1" applyFont="1" applyFill="1" applyBorder="1"/>
    <xf numFmtId="165" fontId="25" fillId="0" borderId="2" xfId="0" applyNumberFormat="1" applyFont="1" applyBorder="1" applyAlignment="1">
      <alignment horizontal="right"/>
    </xf>
    <xf numFmtId="165" fontId="25" fillId="0" borderId="15" xfId="0" applyNumberFormat="1" applyFont="1" applyBorder="1" applyAlignment="1">
      <alignment horizontal="right"/>
    </xf>
    <xf numFmtId="165" fontId="25" fillId="2" borderId="2" xfId="0" applyNumberFormat="1" applyFont="1" applyFill="1" applyBorder="1" applyAlignment="1">
      <alignment horizontal="right"/>
    </xf>
    <xf numFmtId="165" fontId="25" fillId="2" borderId="15" xfId="0" applyNumberFormat="1" applyFont="1" applyFill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165" fontId="11" fillId="0" borderId="15" xfId="0" applyNumberFormat="1" applyFont="1" applyBorder="1" applyAlignment="1">
      <alignment horizontal="right"/>
    </xf>
    <xf numFmtId="165" fontId="11" fillId="2" borderId="2" xfId="0" applyNumberFormat="1" applyFont="1" applyFill="1" applyBorder="1" applyAlignment="1">
      <alignment horizontal="right"/>
    </xf>
    <xf numFmtId="165" fontId="11" fillId="2" borderId="15" xfId="0" applyNumberFormat="1" applyFont="1" applyFill="1" applyBorder="1" applyAlignment="1">
      <alignment horizontal="right"/>
    </xf>
    <xf numFmtId="165" fontId="11" fillId="0" borderId="1" xfId="0" applyNumberFormat="1" applyFont="1" applyBorder="1" applyAlignment="1">
      <alignment horizontal="right"/>
    </xf>
    <xf numFmtId="165" fontId="11" fillId="0" borderId="27" xfId="0" applyNumberFormat="1" applyFont="1" applyBorder="1" applyAlignment="1">
      <alignment horizontal="right"/>
    </xf>
    <xf numFmtId="165" fontId="10" fillId="0" borderId="1" xfId="0" applyNumberFormat="1" applyFont="1" applyBorder="1" applyAlignment="1" applyProtection="1">
      <alignment horizontal="right"/>
    </xf>
    <xf numFmtId="165" fontId="10" fillId="0" borderId="27" xfId="0" applyNumberFormat="1" applyFont="1" applyBorder="1" applyAlignment="1" applyProtection="1">
      <alignment horizontal="right"/>
    </xf>
    <xf numFmtId="166" fontId="12" fillId="2" borderId="2" xfId="0" applyNumberFormat="1" applyFont="1" applyFill="1" applyBorder="1" applyAlignment="1" applyProtection="1">
      <alignment horizontal="right" vertical="center"/>
    </xf>
    <xf numFmtId="166" fontId="12" fillId="2" borderId="15" xfId="0" applyNumberFormat="1" applyFont="1" applyFill="1" applyBorder="1" applyAlignment="1" applyProtection="1">
      <alignment horizontal="right" vertical="center"/>
    </xf>
    <xf numFmtId="0" fontId="11" fillId="0" borderId="16" xfId="0" applyFont="1" applyBorder="1"/>
    <xf numFmtId="0" fontId="11" fillId="0" borderId="25" xfId="0" applyFont="1" applyBorder="1" applyAlignment="1" applyProtection="1">
      <alignment horizontal="left"/>
    </xf>
    <xf numFmtId="165" fontId="11" fillId="0" borderId="17" xfId="0" applyNumberFormat="1" applyFont="1" applyBorder="1" applyAlignment="1" applyProtection="1">
      <alignment horizontal="right"/>
    </xf>
    <xf numFmtId="165" fontId="11" fillId="0" borderId="20" xfId="0" applyNumberFormat="1" applyFont="1" applyBorder="1" applyAlignment="1" applyProtection="1">
      <alignment horizontal="right"/>
    </xf>
    <xf numFmtId="165" fontId="11" fillId="2" borderId="17" xfId="0" applyNumberFormat="1" applyFont="1" applyFill="1" applyBorder="1" applyAlignment="1" applyProtection="1">
      <alignment horizontal="right"/>
    </xf>
    <xf numFmtId="165" fontId="11" fillId="2" borderId="20" xfId="0" applyNumberFormat="1" applyFont="1" applyFill="1" applyBorder="1" applyAlignment="1" applyProtection="1">
      <alignment horizontal="right"/>
    </xf>
    <xf numFmtId="166" fontId="11" fillId="0" borderId="0" xfId="0" applyNumberFormat="1" applyFont="1" applyBorder="1"/>
    <xf numFmtId="165" fontId="11" fillId="0" borderId="0" xfId="0" applyNumberFormat="1" applyFont="1" applyBorder="1"/>
    <xf numFmtId="0" fontId="12" fillId="0" borderId="0" xfId="0" applyFont="1" applyBorder="1" applyAlignment="1" applyProtection="1">
      <alignment horizontal="left"/>
    </xf>
    <xf numFmtId="166" fontId="12" fillId="0" borderId="0" xfId="0" applyNumberFormat="1" applyFont="1" applyBorder="1"/>
    <xf numFmtId="2" fontId="12" fillId="0" borderId="0" xfId="0" applyNumberFormat="1" applyFont="1" applyBorder="1"/>
    <xf numFmtId="0" fontId="6" fillId="0" borderId="0" xfId="0" applyFont="1" applyBorder="1" applyAlignment="1" applyProtection="1">
      <alignment horizontal="left"/>
    </xf>
    <xf numFmtId="165" fontId="6" fillId="0" borderId="0" xfId="0" applyNumberFormat="1" applyFont="1" applyBorder="1"/>
    <xf numFmtId="166" fontId="6" fillId="0" borderId="0" xfId="0" applyNumberFormat="1" applyFont="1" applyBorder="1"/>
    <xf numFmtId="166" fontId="6" fillId="0" borderId="0" xfId="0" applyNumberFormat="1" applyFont="1" applyBorder="1" applyAlignment="1" applyProtection="1">
      <alignment horizontal="right" vertical="center"/>
    </xf>
    <xf numFmtId="0" fontId="21" fillId="0" borderId="0" xfId="0" applyFont="1" applyAlignment="1">
      <alignment horizontal="left"/>
    </xf>
    <xf numFmtId="0" fontId="26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4" fillId="0" borderId="25" xfId="0" applyFont="1" applyBorder="1" applyAlignment="1">
      <alignment horizontal="left" vertical="center"/>
    </xf>
    <xf numFmtId="0" fontId="11" fillId="0" borderId="0" xfId="0" applyFont="1"/>
    <xf numFmtId="0" fontId="24" fillId="0" borderId="14" xfId="0" applyFont="1" applyBorder="1"/>
    <xf numFmtId="165" fontId="10" fillId="0" borderId="32" xfId="0" applyNumberFormat="1" applyFont="1" applyBorder="1" applyAlignment="1" applyProtection="1">
      <alignment horizontal="right"/>
    </xf>
    <xf numFmtId="165" fontId="10" fillId="0" borderId="33" xfId="0" applyNumberFormat="1" applyFont="1" applyBorder="1" applyAlignment="1" applyProtection="1">
      <alignment horizontal="right"/>
    </xf>
    <xf numFmtId="0" fontId="24" fillId="0" borderId="0" xfId="0" applyFont="1"/>
    <xf numFmtId="167" fontId="10" fillId="0" borderId="2" xfId="0" applyNumberFormat="1" applyFont="1" applyBorder="1" applyAlignment="1" applyProtection="1">
      <alignment horizontal="right"/>
    </xf>
    <xf numFmtId="168" fontId="11" fillId="2" borderId="2" xfId="0" applyNumberFormat="1" applyFont="1" applyFill="1" applyBorder="1" applyAlignment="1" applyProtection="1">
      <alignment horizontal="right"/>
    </xf>
    <xf numFmtId="165" fontId="10" fillId="2" borderId="2" xfId="0" applyNumberFormat="1" applyFont="1" applyFill="1" applyBorder="1" applyAlignment="1">
      <alignment horizontal="right"/>
    </xf>
    <xf numFmtId="165" fontId="10" fillId="2" borderId="15" xfId="0" applyNumberFormat="1" applyFont="1" applyFill="1" applyBorder="1" applyAlignment="1">
      <alignment horizontal="right"/>
    </xf>
    <xf numFmtId="166" fontId="12" fillId="0" borderId="15" xfId="0" applyNumberFormat="1" applyFont="1" applyFill="1" applyBorder="1" applyAlignment="1" applyProtection="1">
      <alignment horizontal="right" vertical="center"/>
    </xf>
    <xf numFmtId="165" fontId="12" fillId="2" borderId="2" xfId="0" applyNumberFormat="1" applyFont="1" applyFill="1" applyBorder="1" applyAlignment="1" applyProtection="1">
      <alignment horizontal="right"/>
    </xf>
    <xf numFmtId="165" fontId="12" fillId="2" borderId="15" xfId="0" applyNumberFormat="1" applyFont="1" applyFill="1" applyBorder="1" applyAlignment="1" applyProtection="1">
      <alignment horizontal="right"/>
    </xf>
    <xf numFmtId="0" fontId="24" fillId="0" borderId="16" xfId="0" applyFont="1" applyBorder="1"/>
    <xf numFmtId="0" fontId="10" fillId="0" borderId="17" xfId="0" applyFont="1" applyBorder="1" applyAlignment="1">
      <alignment wrapText="1"/>
    </xf>
    <xf numFmtId="165" fontId="10" fillId="2" borderId="17" xfId="0" applyNumberFormat="1" applyFont="1" applyFill="1" applyBorder="1" applyAlignment="1" applyProtection="1">
      <alignment horizontal="right"/>
    </xf>
    <xf numFmtId="165" fontId="10" fillId="2" borderId="20" xfId="0" applyNumberFormat="1" applyFont="1" applyFill="1" applyBorder="1" applyAlignment="1" applyProtection="1">
      <alignment horizontal="right"/>
    </xf>
    <xf numFmtId="168" fontId="10" fillId="2" borderId="20" xfId="0" applyNumberFormat="1" applyFont="1" applyFill="1" applyBorder="1" applyAlignment="1" applyProtection="1">
      <alignment horizontal="right"/>
    </xf>
    <xf numFmtId="0" fontId="12" fillId="0" borderId="0" xfId="0" applyFont="1" applyAlignment="1" applyProtection="1">
      <alignment horizontal="left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65" fontId="10" fillId="0" borderId="2" xfId="0" applyNumberFormat="1" applyFont="1" applyFill="1" applyBorder="1" applyAlignment="1" applyProtection="1">
      <alignment horizontal="right"/>
    </xf>
    <xf numFmtId="165" fontId="10" fillId="0" borderId="15" xfId="0" applyNumberFormat="1" applyFont="1" applyFill="1" applyBorder="1" applyAlignment="1" applyProtection="1">
      <alignment horizontal="right"/>
    </xf>
    <xf numFmtId="165" fontId="10" fillId="0" borderId="2" xfId="0" applyNumberFormat="1" applyFont="1" applyFill="1" applyBorder="1" applyAlignment="1">
      <alignment horizontal="right"/>
    </xf>
    <xf numFmtId="165" fontId="10" fillId="0" borderId="15" xfId="0" applyNumberFormat="1" applyFont="1" applyFill="1" applyBorder="1" applyAlignment="1">
      <alignment horizontal="right"/>
    </xf>
    <xf numFmtId="169" fontId="11" fillId="0" borderId="2" xfId="0" applyNumberFormat="1" applyFont="1" applyBorder="1" applyAlignment="1" applyProtection="1">
      <alignment horizontal="right"/>
    </xf>
    <xf numFmtId="169" fontId="11" fillId="0" borderId="15" xfId="0" applyNumberFormat="1" applyFont="1" applyBorder="1" applyAlignment="1" applyProtection="1">
      <alignment horizontal="right"/>
    </xf>
    <xf numFmtId="166" fontId="12" fillId="0" borderId="2" xfId="0" applyNumberFormat="1" applyFont="1" applyFill="1" applyBorder="1" applyAlignment="1" applyProtection="1">
      <alignment horizontal="right" vertical="center"/>
    </xf>
    <xf numFmtId="165" fontId="10" fillId="0" borderId="17" xfId="0" applyNumberFormat="1" applyFont="1" applyFill="1" applyBorder="1" applyAlignment="1" applyProtection="1">
      <alignment horizontal="right"/>
    </xf>
    <xf numFmtId="165" fontId="10" fillId="0" borderId="20" xfId="0" applyNumberFormat="1" applyFont="1" applyFill="1" applyBorder="1" applyAlignment="1" applyProtection="1">
      <alignment horizontal="right"/>
    </xf>
    <xf numFmtId="0" fontId="28" fillId="0" borderId="0" xfId="1"/>
    <xf numFmtId="0" fontId="24" fillId="0" borderId="0" xfId="1" applyFont="1"/>
    <xf numFmtId="0" fontId="11" fillId="0" borderId="0" xfId="1" applyFont="1"/>
    <xf numFmtId="0" fontId="12" fillId="0" borderId="0" xfId="1" applyFont="1" applyAlignment="1" applyProtection="1">
      <alignment horizontal="left"/>
    </xf>
    <xf numFmtId="165" fontId="10" fillId="0" borderId="20" xfId="1" applyNumberFormat="1" applyFont="1" applyFill="1" applyBorder="1" applyAlignment="1" applyProtection="1">
      <alignment horizontal="right"/>
    </xf>
    <xf numFmtId="165" fontId="10" fillId="0" borderId="17" xfId="1" applyNumberFormat="1" applyFont="1" applyFill="1" applyBorder="1" applyAlignment="1" applyProtection="1">
      <alignment horizontal="right"/>
    </xf>
    <xf numFmtId="165" fontId="10" fillId="2" borderId="17" xfId="1" applyNumberFormat="1" applyFont="1" applyFill="1" applyBorder="1" applyAlignment="1" applyProtection="1">
      <alignment horizontal="right"/>
    </xf>
    <xf numFmtId="0" fontId="10" fillId="0" borderId="17" xfId="1" applyFont="1" applyBorder="1" applyAlignment="1">
      <alignment wrapText="1"/>
    </xf>
    <xf numFmtId="0" fontId="11" fillId="0" borderId="16" xfId="1" applyFont="1" applyBorder="1"/>
    <xf numFmtId="165" fontId="11" fillId="0" borderId="15" xfId="1" applyNumberFormat="1" applyFont="1" applyBorder="1" applyAlignment="1" applyProtection="1">
      <alignment horizontal="right"/>
    </xf>
    <xf numFmtId="165" fontId="11" fillId="0" borderId="2" xfId="1" applyNumberFormat="1" applyFont="1" applyBorder="1" applyAlignment="1" applyProtection="1">
      <alignment horizontal="right"/>
    </xf>
    <xf numFmtId="0" fontId="11" fillId="0" borderId="2" xfId="1" applyFont="1" applyBorder="1" applyAlignment="1" applyProtection="1">
      <alignment horizontal="left"/>
    </xf>
    <xf numFmtId="0" fontId="11" fillId="0" borderId="14" xfId="1" applyFont="1" applyBorder="1"/>
    <xf numFmtId="165" fontId="10" fillId="0" borderId="15" xfId="1" applyNumberFormat="1" applyFont="1" applyBorder="1" applyAlignment="1" applyProtection="1">
      <alignment horizontal="right"/>
    </xf>
    <xf numFmtId="165" fontId="10" fillId="0" borderId="2" xfId="1" applyNumberFormat="1" applyFont="1" applyBorder="1" applyAlignment="1" applyProtection="1">
      <alignment horizontal="right"/>
    </xf>
    <xf numFmtId="0" fontId="10" fillId="0" borderId="2" xfId="1" applyFont="1" applyBorder="1" applyAlignment="1" applyProtection="1">
      <alignment horizontal="left"/>
    </xf>
    <xf numFmtId="0" fontId="10" fillId="0" borderId="14" xfId="1" applyFont="1" applyBorder="1"/>
    <xf numFmtId="166" fontId="12" fillId="0" borderId="15" xfId="1" applyNumberFormat="1" applyFont="1" applyFill="1" applyBorder="1" applyAlignment="1" applyProtection="1">
      <alignment horizontal="right" vertical="center"/>
    </xf>
    <xf numFmtId="166" fontId="12" fillId="0" borderId="2" xfId="1" applyNumberFormat="1" applyFont="1" applyFill="1" applyBorder="1" applyAlignment="1" applyProtection="1">
      <alignment horizontal="right" vertical="center"/>
    </xf>
    <xf numFmtId="0" fontId="24" fillId="3" borderId="0" xfId="1" applyFont="1" applyFill="1"/>
    <xf numFmtId="165" fontId="11" fillId="3" borderId="15" xfId="1" applyNumberFormat="1" applyFont="1" applyFill="1" applyBorder="1" applyAlignment="1" applyProtection="1">
      <alignment horizontal="right"/>
    </xf>
    <xf numFmtId="165" fontId="11" fillId="3" borderId="2" xfId="1" applyNumberFormat="1" applyFont="1" applyFill="1" applyBorder="1" applyAlignment="1" applyProtection="1">
      <alignment horizontal="right"/>
    </xf>
    <xf numFmtId="0" fontId="11" fillId="3" borderId="2" xfId="1" applyFont="1" applyFill="1" applyBorder="1" applyAlignment="1" applyProtection="1">
      <alignment horizontal="left"/>
    </xf>
    <xf numFmtId="0" fontId="11" fillId="3" borderId="14" xfId="1" applyFont="1" applyFill="1" applyBorder="1"/>
    <xf numFmtId="165" fontId="10" fillId="3" borderId="15" xfId="1" applyNumberFormat="1" applyFont="1" applyFill="1" applyBorder="1" applyAlignment="1" applyProtection="1">
      <alignment horizontal="right"/>
    </xf>
    <xf numFmtId="165" fontId="10" fillId="3" borderId="2" xfId="1" applyNumberFormat="1" applyFont="1" applyFill="1" applyBorder="1" applyAlignment="1" applyProtection="1">
      <alignment horizontal="right"/>
    </xf>
    <xf numFmtId="0" fontId="10" fillId="3" borderId="2" xfId="1" applyFont="1" applyFill="1" applyBorder="1" applyAlignment="1" applyProtection="1">
      <alignment horizontal="left"/>
    </xf>
    <xf numFmtId="0" fontId="10" fillId="3" borderId="14" xfId="1" applyFont="1" applyFill="1" applyBorder="1"/>
    <xf numFmtId="169" fontId="11" fillId="0" borderId="15" xfId="1" applyNumberFormat="1" applyFont="1" applyBorder="1" applyAlignment="1" applyProtection="1">
      <alignment horizontal="right"/>
    </xf>
    <xf numFmtId="169" fontId="11" fillId="0" borderId="2" xfId="1" applyNumberFormat="1" applyFont="1" applyBorder="1" applyAlignment="1" applyProtection="1">
      <alignment horizontal="right"/>
    </xf>
    <xf numFmtId="169" fontId="11" fillId="3" borderId="2" xfId="1" applyNumberFormat="1" applyFont="1" applyFill="1" applyBorder="1" applyAlignment="1" applyProtection="1">
      <alignment horizontal="right"/>
    </xf>
    <xf numFmtId="165" fontId="10" fillId="0" borderId="15" xfId="1" applyNumberFormat="1" applyFont="1" applyFill="1" applyBorder="1" applyAlignment="1">
      <alignment horizontal="right"/>
    </xf>
    <xf numFmtId="165" fontId="10" fillId="0" borderId="2" xfId="1" applyNumberFormat="1" applyFont="1" applyFill="1" applyBorder="1" applyAlignment="1">
      <alignment horizontal="right"/>
    </xf>
    <xf numFmtId="165" fontId="10" fillId="3" borderId="2" xfId="1" applyNumberFormat="1" applyFont="1" applyFill="1" applyBorder="1" applyAlignment="1">
      <alignment horizontal="right"/>
    </xf>
    <xf numFmtId="165" fontId="10" fillId="0" borderId="15" xfId="1" applyNumberFormat="1" applyFont="1" applyFill="1" applyBorder="1" applyAlignment="1" applyProtection="1">
      <alignment horizontal="right"/>
    </xf>
    <xf numFmtId="165" fontId="10" fillId="0" borderId="2" xfId="1" applyNumberFormat="1" applyFont="1" applyFill="1" applyBorder="1" applyAlignment="1" applyProtection="1">
      <alignment horizontal="right"/>
    </xf>
    <xf numFmtId="0" fontId="10" fillId="4" borderId="13" xfId="1" applyFont="1" applyFill="1" applyBorder="1" applyAlignment="1" applyProtection="1">
      <alignment horizontal="center" vertical="center"/>
      <protection locked="0"/>
    </xf>
    <xf numFmtId="0" fontId="10" fillId="4" borderId="12" xfId="1" applyFont="1" applyFill="1" applyBorder="1" applyAlignment="1" applyProtection="1">
      <alignment horizontal="center" vertical="center"/>
      <protection locked="0"/>
    </xf>
    <xf numFmtId="0" fontId="26" fillId="0" borderId="0" xfId="1" applyFont="1"/>
    <xf numFmtId="0" fontId="29" fillId="0" borderId="0" xfId="1" applyFont="1"/>
    <xf numFmtId="166" fontId="12" fillId="3" borderId="15" xfId="1" applyNumberFormat="1" applyFont="1" applyFill="1" applyBorder="1" applyAlignment="1" applyProtection="1">
      <alignment horizontal="right" vertical="center"/>
    </xf>
    <xf numFmtId="166" fontId="12" fillId="3" borderId="2" xfId="1" applyNumberFormat="1" applyFont="1" applyFill="1" applyBorder="1" applyAlignment="1" applyProtection="1">
      <alignment horizontal="right" vertical="center"/>
    </xf>
    <xf numFmtId="165" fontId="11" fillId="0" borderId="2" xfId="1" applyNumberFormat="1" applyFont="1" applyFill="1" applyBorder="1" applyAlignment="1" applyProtection="1">
      <alignment horizontal="right"/>
    </xf>
    <xf numFmtId="169" fontId="11" fillId="0" borderId="2" xfId="1" applyNumberFormat="1" applyFont="1" applyFill="1" applyBorder="1" applyAlignment="1" applyProtection="1">
      <alignment horizontal="right"/>
    </xf>
    <xf numFmtId="165" fontId="11" fillId="0" borderId="15" xfId="1" applyNumberFormat="1" applyFont="1" applyFill="1" applyBorder="1" applyAlignment="1" applyProtection="1">
      <alignment horizontal="right"/>
    </xf>
    <xf numFmtId="0" fontId="28" fillId="0" borderId="0" xfId="1" applyFill="1"/>
    <xf numFmtId="0" fontId="24" fillId="0" borderId="0" xfId="1" applyFont="1" applyFill="1"/>
    <xf numFmtId="0" fontId="11" fillId="0" borderId="17" xfId="1" applyFont="1" applyBorder="1" applyAlignment="1" applyProtection="1">
      <alignment horizontal="left"/>
    </xf>
    <xf numFmtId="165" fontId="11" fillId="0" borderId="17" xfId="1" applyNumberFormat="1" applyFont="1" applyBorder="1" applyAlignment="1" applyProtection="1">
      <alignment horizontal="right"/>
    </xf>
    <xf numFmtId="165" fontId="11" fillId="0" borderId="17" xfId="1" applyNumberFormat="1" applyFont="1" applyFill="1" applyBorder="1" applyAlignment="1" applyProtection="1">
      <alignment horizontal="right"/>
    </xf>
    <xf numFmtId="165" fontId="11" fillId="0" borderId="20" xfId="1" applyNumberFormat="1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4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1" fontId="9" fillId="0" borderId="4" xfId="0" applyNumberFormat="1" applyFont="1" applyBorder="1" applyAlignment="1" applyProtection="1">
      <alignment horizontal="center" vertical="center"/>
    </xf>
    <xf numFmtId="1" fontId="9" fillId="0" borderId="8" xfId="0" applyNumberFormat="1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2" fontId="9" fillId="0" borderId="21" xfId="0" quotePrefix="1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2" fontId="9" fillId="0" borderId="23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 applyProtection="1">
      <alignment horizontal="center" vertical="center"/>
    </xf>
    <xf numFmtId="1" fontId="10" fillId="0" borderId="8" xfId="0" applyNumberFormat="1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166" fontId="10" fillId="0" borderId="6" xfId="0" applyNumberFormat="1" applyFont="1" applyBorder="1" applyAlignment="1">
      <alignment horizontal="center" vertical="center"/>
    </xf>
    <xf numFmtId="166" fontId="10" fillId="0" borderId="7" xfId="0" applyNumberFormat="1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left"/>
      <protection locked="0"/>
    </xf>
    <xf numFmtId="49" fontId="10" fillId="0" borderId="6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1" fillId="0" borderId="8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/>
    </xf>
    <xf numFmtId="0" fontId="11" fillId="0" borderId="9" xfId="0" applyFont="1" applyBorder="1" applyAlignment="1">
      <alignment vertical="center"/>
    </xf>
    <xf numFmtId="0" fontId="16" fillId="0" borderId="0" xfId="0" applyFont="1" applyBorder="1" applyAlignment="1">
      <alignment horizontal="center"/>
    </xf>
    <xf numFmtId="0" fontId="4" fillId="0" borderId="25" xfId="0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8" fillId="0" borderId="6" xfId="0" applyNumberFormat="1" applyFont="1" applyBorder="1" applyAlignment="1" applyProtection="1">
      <alignment horizontal="center" vertical="center" wrapText="1"/>
      <protection locked="0"/>
    </xf>
    <xf numFmtId="49" fontId="18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left"/>
    </xf>
    <xf numFmtId="1" fontId="10" fillId="0" borderId="4" xfId="0" applyNumberFormat="1" applyFont="1" applyBorder="1" applyAlignment="1" applyProtection="1">
      <alignment horizontal="center" vertical="center" wrapText="1"/>
      <protection locked="0"/>
    </xf>
    <xf numFmtId="1" fontId="10" fillId="0" borderId="8" xfId="0" applyNumberFormat="1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/>
    </xf>
    <xf numFmtId="0" fontId="24" fillId="0" borderId="29" xfId="0" applyFont="1" applyBorder="1" applyAlignment="1"/>
    <xf numFmtId="0" fontId="24" fillId="0" borderId="30" xfId="0" applyFont="1" applyBorder="1" applyAlignment="1"/>
    <xf numFmtId="0" fontId="24" fillId="0" borderId="31" xfId="0" applyFont="1" applyBorder="1" applyAlignment="1"/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2" borderId="21" xfId="0" applyFont="1" applyFill="1" applyBorder="1" applyAlignment="1">
      <alignment horizontal="center"/>
    </xf>
    <xf numFmtId="0" fontId="25" fillId="2" borderId="22" xfId="0" applyFont="1" applyFill="1" applyBorder="1" applyAlignment="1">
      <alignment horizontal="center"/>
    </xf>
    <xf numFmtId="0" fontId="25" fillId="2" borderId="23" xfId="0" applyFont="1" applyFill="1" applyBorder="1" applyAlignment="1">
      <alignment horizontal="center"/>
    </xf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10" fillId="2" borderId="2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25" xfId="0" applyFont="1" applyBorder="1" applyAlignment="1">
      <alignment horizontal="left" vertical="center"/>
    </xf>
    <xf numFmtId="0" fontId="10" fillId="0" borderId="34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30" fillId="0" borderId="0" xfId="1" applyFont="1" applyAlignment="1">
      <alignment horizontal="left"/>
    </xf>
    <xf numFmtId="0" fontId="21" fillId="0" borderId="0" xfId="1" applyFont="1" applyAlignment="1">
      <alignment horizontal="left" vertical="center"/>
    </xf>
    <xf numFmtId="0" fontId="28" fillId="0" borderId="0" xfId="1" applyAlignment="1">
      <alignment horizontal="center"/>
    </xf>
    <xf numFmtId="0" fontId="4" fillId="0" borderId="25" xfId="1" applyFont="1" applyBorder="1" applyAlignment="1">
      <alignment horizontal="left" vertical="center"/>
    </xf>
    <xf numFmtId="0" fontId="10" fillId="4" borderId="34" xfId="1" applyFont="1" applyFill="1" applyBorder="1" applyAlignment="1" applyProtection="1">
      <alignment horizontal="center" vertical="center"/>
    </xf>
    <xf numFmtId="0" fontId="10" fillId="4" borderId="6" xfId="1" applyFont="1" applyFill="1" applyBorder="1" applyAlignment="1" applyProtection="1">
      <alignment horizontal="center" vertical="center"/>
    </xf>
    <xf numFmtId="0" fontId="10" fillId="4" borderId="35" xfId="1" applyFont="1" applyFill="1" applyBorder="1" applyAlignment="1" applyProtection="1">
      <alignment horizontal="center" vertical="center"/>
    </xf>
    <xf numFmtId="0" fontId="10" fillId="4" borderId="12" xfId="1" applyFont="1" applyFill="1" applyBorder="1" applyAlignment="1" applyProtection="1">
      <alignment horizontal="center" vertical="center"/>
    </xf>
    <xf numFmtId="0" fontId="10" fillId="4" borderId="6" xfId="1" applyFont="1" applyFill="1" applyBorder="1" applyAlignment="1" applyProtection="1">
      <alignment horizontal="center" vertical="center" wrapText="1"/>
      <protection locked="0"/>
    </xf>
    <xf numFmtId="0" fontId="10" fillId="4" borderId="7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mailto:.@%20(-)%20indicates%20Surplus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.@%20(-)%20indicates%20Surplus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.@%20(-)%20indicates%20Surplus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.@%20(-)%20indicates%20Surplus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.@%20(-)%20indicates%20Surplus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.@%20(-)%20indicates%20Surplus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.@%20(-)%20indicates%20Surplus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.@%20(-)%20indicates%20Surplus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.@%20(-)%20indicates%20Surplus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.@%20(-)%20indicates%20Surplus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.@%20(-)%20indicates%20Surpl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workbookViewId="0">
      <selection activeCell="Y33" sqref="Y33"/>
    </sheetView>
  </sheetViews>
  <sheetFormatPr defaultColWidth="11" defaultRowHeight="7.2" x14ac:dyDescent="0.15"/>
  <cols>
    <col min="1" max="1" width="2.6640625" style="1" customWidth="1"/>
    <col min="2" max="2" width="15.5546875" style="1" customWidth="1"/>
    <col min="3" max="3" width="6.33203125" style="1" customWidth="1"/>
    <col min="4" max="4" width="2.33203125" style="1" bestFit="1" customWidth="1"/>
    <col min="5" max="5" width="6.33203125" style="1" customWidth="1"/>
    <col min="6" max="6" width="1.5546875" style="1" bestFit="1" customWidth="1"/>
    <col min="7" max="7" width="6.33203125" style="1" customWidth="1"/>
    <col min="8" max="8" width="1.5546875" style="1" bestFit="1" customWidth="1"/>
    <col min="9" max="9" width="6.33203125" style="1" customWidth="1"/>
    <col min="10" max="10" width="2" style="1" bestFit="1" customWidth="1"/>
    <col min="11" max="11" width="6.33203125" style="1" customWidth="1"/>
    <col min="12" max="12" width="1.44140625" style="1" customWidth="1"/>
    <col min="13" max="13" width="6.33203125" style="1" customWidth="1"/>
    <col min="14" max="14" width="1.5546875" style="1" bestFit="1" customWidth="1"/>
    <col min="15" max="15" width="6.33203125" style="1" customWidth="1"/>
    <col min="16" max="16" width="1.44140625" style="1" bestFit="1" customWidth="1"/>
    <col min="17" max="17" width="6.33203125" style="1" customWidth="1"/>
    <col min="18" max="18" width="1.44140625" style="1" bestFit="1" customWidth="1"/>
    <col min="19" max="22" width="6.33203125" style="1" customWidth="1"/>
    <col min="23" max="23" width="9.88671875" style="1" customWidth="1"/>
    <col min="24" max="256" width="11" style="1"/>
    <col min="257" max="257" width="2.6640625" style="1" customWidth="1"/>
    <col min="258" max="258" width="15.5546875" style="1" customWidth="1"/>
    <col min="259" max="259" width="6.33203125" style="1" customWidth="1"/>
    <col min="260" max="260" width="2.33203125" style="1" bestFit="1" customWidth="1"/>
    <col min="261" max="261" width="6.33203125" style="1" customWidth="1"/>
    <col min="262" max="262" width="1.5546875" style="1" bestFit="1" customWidth="1"/>
    <col min="263" max="263" width="6.33203125" style="1" customWidth="1"/>
    <col min="264" max="264" width="1.5546875" style="1" bestFit="1" customWidth="1"/>
    <col min="265" max="265" width="6.33203125" style="1" customWidth="1"/>
    <col min="266" max="266" width="2" style="1" bestFit="1" customWidth="1"/>
    <col min="267" max="267" width="6.33203125" style="1" customWidth="1"/>
    <col min="268" max="268" width="1.44140625" style="1" customWidth="1"/>
    <col min="269" max="269" width="6.33203125" style="1" customWidth="1"/>
    <col min="270" max="270" width="1.5546875" style="1" bestFit="1" customWidth="1"/>
    <col min="271" max="271" width="6.33203125" style="1" customWidth="1"/>
    <col min="272" max="272" width="1.44140625" style="1" bestFit="1" customWidth="1"/>
    <col min="273" max="273" width="6.33203125" style="1" customWidth="1"/>
    <col min="274" max="274" width="1.44140625" style="1" bestFit="1" customWidth="1"/>
    <col min="275" max="278" width="6.33203125" style="1" customWidth="1"/>
    <col min="279" max="279" width="9.88671875" style="1" customWidth="1"/>
    <col min="280" max="512" width="11" style="1"/>
    <col min="513" max="513" width="2.6640625" style="1" customWidth="1"/>
    <col min="514" max="514" width="15.5546875" style="1" customWidth="1"/>
    <col min="515" max="515" width="6.33203125" style="1" customWidth="1"/>
    <col min="516" max="516" width="2.33203125" style="1" bestFit="1" customWidth="1"/>
    <col min="517" max="517" width="6.33203125" style="1" customWidth="1"/>
    <col min="518" max="518" width="1.5546875" style="1" bestFit="1" customWidth="1"/>
    <col min="519" max="519" width="6.33203125" style="1" customWidth="1"/>
    <col min="520" max="520" width="1.5546875" style="1" bestFit="1" customWidth="1"/>
    <col min="521" max="521" width="6.33203125" style="1" customWidth="1"/>
    <col min="522" max="522" width="2" style="1" bestFit="1" customWidth="1"/>
    <col min="523" max="523" width="6.33203125" style="1" customWidth="1"/>
    <col min="524" max="524" width="1.44140625" style="1" customWidth="1"/>
    <col min="525" max="525" width="6.33203125" style="1" customWidth="1"/>
    <col min="526" max="526" width="1.5546875" style="1" bestFit="1" customWidth="1"/>
    <col min="527" max="527" width="6.33203125" style="1" customWidth="1"/>
    <col min="528" max="528" width="1.44140625" style="1" bestFit="1" customWidth="1"/>
    <col min="529" max="529" width="6.33203125" style="1" customWidth="1"/>
    <col min="530" max="530" width="1.44140625" style="1" bestFit="1" customWidth="1"/>
    <col min="531" max="534" width="6.33203125" style="1" customWidth="1"/>
    <col min="535" max="535" width="9.88671875" style="1" customWidth="1"/>
    <col min="536" max="768" width="11" style="1"/>
    <col min="769" max="769" width="2.6640625" style="1" customWidth="1"/>
    <col min="770" max="770" width="15.5546875" style="1" customWidth="1"/>
    <col min="771" max="771" width="6.33203125" style="1" customWidth="1"/>
    <col min="772" max="772" width="2.33203125" style="1" bestFit="1" customWidth="1"/>
    <col min="773" max="773" width="6.33203125" style="1" customWidth="1"/>
    <col min="774" max="774" width="1.5546875" style="1" bestFit="1" customWidth="1"/>
    <col min="775" max="775" width="6.33203125" style="1" customWidth="1"/>
    <col min="776" max="776" width="1.5546875" style="1" bestFit="1" customWidth="1"/>
    <col min="777" max="777" width="6.33203125" style="1" customWidth="1"/>
    <col min="778" max="778" width="2" style="1" bestFit="1" customWidth="1"/>
    <col min="779" max="779" width="6.33203125" style="1" customWidth="1"/>
    <col min="780" max="780" width="1.44140625" style="1" customWidth="1"/>
    <col min="781" max="781" width="6.33203125" style="1" customWidth="1"/>
    <col min="782" max="782" width="1.5546875" style="1" bestFit="1" customWidth="1"/>
    <col min="783" max="783" width="6.33203125" style="1" customWidth="1"/>
    <col min="784" max="784" width="1.44140625" style="1" bestFit="1" customWidth="1"/>
    <col min="785" max="785" width="6.33203125" style="1" customWidth="1"/>
    <col min="786" max="786" width="1.44140625" style="1" bestFit="1" customWidth="1"/>
    <col min="787" max="790" width="6.33203125" style="1" customWidth="1"/>
    <col min="791" max="791" width="9.88671875" style="1" customWidth="1"/>
    <col min="792" max="1024" width="11" style="1"/>
    <col min="1025" max="1025" width="2.6640625" style="1" customWidth="1"/>
    <col min="1026" max="1026" width="15.5546875" style="1" customWidth="1"/>
    <col min="1027" max="1027" width="6.33203125" style="1" customWidth="1"/>
    <col min="1028" max="1028" width="2.33203125" style="1" bestFit="1" customWidth="1"/>
    <col min="1029" max="1029" width="6.33203125" style="1" customWidth="1"/>
    <col min="1030" max="1030" width="1.5546875" style="1" bestFit="1" customWidth="1"/>
    <col min="1031" max="1031" width="6.33203125" style="1" customWidth="1"/>
    <col min="1032" max="1032" width="1.5546875" style="1" bestFit="1" customWidth="1"/>
    <col min="1033" max="1033" width="6.33203125" style="1" customWidth="1"/>
    <col min="1034" max="1034" width="2" style="1" bestFit="1" customWidth="1"/>
    <col min="1035" max="1035" width="6.33203125" style="1" customWidth="1"/>
    <col min="1036" max="1036" width="1.44140625" style="1" customWidth="1"/>
    <col min="1037" max="1037" width="6.33203125" style="1" customWidth="1"/>
    <col min="1038" max="1038" width="1.5546875" style="1" bestFit="1" customWidth="1"/>
    <col min="1039" max="1039" width="6.33203125" style="1" customWidth="1"/>
    <col min="1040" max="1040" width="1.44140625" style="1" bestFit="1" customWidth="1"/>
    <col min="1041" max="1041" width="6.33203125" style="1" customWidth="1"/>
    <col min="1042" max="1042" width="1.44140625" style="1" bestFit="1" customWidth="1"/>
    <col min="1043" max="1046" width="6.33203125" style="1" customWidth="1"/>
    <col min="1047" max="1047" width="9.88671875" style="1" customWidth="1"/>
    <col min="1048" max="1280" width="11" style="1"/>
    <col min="1281" max="1281" width="2.6640625" style="1" customWidth="1"/>
    <col min="1282" max="1282" width="15.5546875" style="1" customWidth="1"/>
    <col min="1283" max="1283" width="6.33203125" style="1" customWidth="1"/>
    <col min="1284" max="1284" width="2.33203125" style="1" bestFit="1" customWidth="1"/>
    <col min="1285" max="1285" width="6.33203125" style="1" customWidth="1"/>
    <col min="1286" max="1286" width="1.5546875" style="1" bestFit="1" customWidth="1"/>
    <col min="1287" max="1287" width="6.33203125" style="1" customWidth="1"/>
    <col min="1288" max="1288" width="1.5546875" style="1" bestFit="1" customWidth="1"/>
    <col min="1289" max="1289" width="6.33203125" style="1" customWidth="1"/>
    <col min="1290" max="1290" width="2" style="1" bestFit="1" customWidth="1"/>
    <col min="1291" max="1291" width="6.33203125" style="1" customWidth="1"/>
    <col min="1292" max="1292" width="1.44140625" style="1" customWidth="1"/>
    <col min="1293" max="1293" width="6.33203125" style="1" customWidth="1"/>
    <col min="1294" max="1294" width="1.5546875" style="1" bestFit="1" customWidth="1"/>
    <col min="1295" max="1295" width="6.33203125" style="1" customWidth="1"/>
    <col min="1296" max="1296" width="1.44140625" style="1" bestFit="1" customWidth="1"/>
    <col min="1297" max="1297" width="6.33203125" style="1" customWidth="1"/>
    <col min="1298" max="1298" width="1.44140625" style="1" bestFit="1" customWidth="1"/>
    <col min="1299" max="1302" width="6.33203125" style="1" customWidth="1"/>
    <col min="1303" max="1303" width="9.88671875" style="1" customWidth="1"/>
    <col min="1304" max="1536" width="11" style="1"/>
    <col min="1537" max="1537" width="2.6640625" style="1" customWidth="1"/>
    <col min="1538" max="1538" width="15.5546875" style="1" customWidth="1"/>
    <col min="1539" max="1539" width="6.33203125" style="1" customWidth="1"/>
    <col min="1540" max="1540" width="2.33203125" style="1" bestFit="1" customWidth="1"/>
    <col min="1541" max="1541" width="6.33203125" style="1" customWidth="1"/>
    <col min="1542" max="1542" width="1.5546875" style="1" bestFit="1" customWidth="1"/>
    <col min="1543" max="1543" width="6.33203125" style="1" customWidth="1"/>
    <col min="1544" max="1544" width="1.5546875" style="1" bestFit="1" customWidth="1"/>
    <col min="1545" max="1545" width="6.33203125" style="1" customWidth="1"/>
    <col min="1546" max="1546" width="2" style="1" bestFit="1" customWidth="1"/>
    <col min="1547" max="1547" width="6.33203125" style="1" customWidth="1"/>
    <col min="1548" max="1548" width="1.44140625" style="1" customWidth="1"/>
    <col min="1549" max="1549" width="6.33203125" style="1" customWidth="1"/>
    <col min="1550" max="1550" width="1.5546875" style="1" bestFit="1" customWidth="1"/>
    <col min="1551" max="1551" width="6.33203125" style="1" customWidth="1"/>
    <col min="1552" max="1552" width="1.44140625" style="1" bestFit="1" customWidth="1"/>
    <col min="1553" max="1553" width="6.33203125" style="1" customWidth="1"/>
    <col min="1554" max="1554" width="1.44140625" style="1" bestFit="1" customWidth="1"/>
    <col min="1555" max="1558" width="6.33203125" style="1" customWidth="1"/>
    <col min="1559" max="1559" width="9.88671875" style="1" customWidth="1"/>
    <col min="1560" max="1792" width="11" style="1"/>
    <col min="1793" max="1793" width="2.6640625" style="1" customWidth="1"/>
    <col min="1794" max="1794" width="15.5546875" style="1" customWidth="1"/>
    <col min="1795" max="1795" width="6.33203125" style="1" customWidth="1"/>
    <col min="1796" max="1796" width="2.33203125" style="1" bestFit="1" customWidth="1"/>
    <col min="1797" max="1797" width="6.33203125" style="1" customWidth="1"/>
    <col min="1798" max="1798" width="1.5546875" style="1" bestFit="1" customWidth="1"/>
    <col min="1799" max="1799" width="6.33203125" style="1" customWidth="1"/>
    <col min="1800" max="1800" width="1.5546875" style="1" bestFit="1" customWidth="1"/>
    <col min="1801" max="1801" width="6.33203125" style="1" customWidth="1"/>
    <col min="1802" max="1802" width="2" style="1" bestFit="1" customWidth="1"/>
    <col min="1803" max="1803" width="6.33203125" style="1" customWidth="1"/>
    <col min="1804" max="1804" width="1.44140625" style="1" customWidth="1"/>
    <col min="1805" max="1805" width="6.33203125" style="1" customWidth="1"/>
    <col min="1806" max="1806" width="1.5546875" style="1" bestFit="1" customWidth="1"/>
    <col min="1807" max="1807" width="6.33203125" style="1" customWidth="1"/>
    <col min="1808" max="1808" width="1.44140625" style="1" bestFit="1" customWidth="1"/>
    <col min="1809" max="1809" width="6.33203125" style="1" customWidth="1"/>
    <col min="1810" max="1810" width="1.44140625" style="1" bestFit="1" customWidth="1"/>
    <col min="1811" max="1814" width="6.33203125" style="1" customWidth="1"/>
    <col min="1815" max="1815" width="9.88671875" style="1" customWidth="1"/>
    <col min="1816" max="2048" width="11" style="1"/>
    <col min="2049" max="2049" width="2.6640625" style="1" customWidth="1"/>
    <col min="2050" max="2050" width="15.5546875" style="1" customWidth="1"/>
    <col min="2051" max="2051" width="6.33203125" style="1" customWidth="1"/>
    <col min="2052" max="2052" width="2.33203125" style="1" bestFit="1" customWidth="1"/>
    <col min="2053" max="2053" width="6.33203125" style="1" customWidth="1"/>
    <col min="2054" max="2054" width="1.5546875" style="1" bestFit="1" customWidth="1"/>
    <col min="2055" max="2055" width="6.33203125" style="1" customWidth="1"/>
    <col min="2056" max="2056" width="1.5546875" style="1" bestFit="1" customWidth="1"/>
    <col min="2057" max="2057" width="6.33203125" style="1" customWidth="1"/>
    <col min="2058" max="2058" width="2" style="1" bestFit="1" customWidth="1"/>
    <col min="2059" max="2059" width="6.33203125" style="1" customWidth="1"/>
    <col min="2060" max="2060" width="1.44140625" style="1" customWidth="1"/>
    <col min="2061" max="2061" width="6.33203125" style="1" customWidth="1"/>
    <col min="2062" max="2062" width="1.5546875" style="1" bestFit="1" customWidth="1"/>
    <col min="2063" max="2063" width="6.33203125" style="1" customWidth="1"/>
    <col min="2064" max="2064" width="1.44140625" style="1" bestFit="1" customWidth="1"/>
    <col min="2065" max="2065" width="6.33203125" style="1" customWidth="1"/>
    <col min="2066" max="2066" width="1.44140625" style="1" bestFit="1" customWidth="1"/>
    <col min="2067" max="2070" width="6.33203125" style="1" customWidth="1"/>
    <col min="2071" max="2071" width="9.88671875" style="1" customWidth="1"/>
    <col min="2072" max="2304" width="11" style="1"/>
    <col min="2305" max="2305" width="2.6640625" style="1" customWidth="1"/>
    <col min="2306" max="2306" width="15.5546875" style="1" customWidth="1"/>
    <col min="2307" max="2307" width="6.33203125" style="1" customWidth="1"/>
    <col min="2308" max="2308" width="2.33203125" style="1" bestFit="1" customWidth="1"/>
    <col min="2309" max="2309" width="6.33203125" style="1" customWidth="1"/>
    <col min="2310" max="2310" width="1.5546875" style="1" bestFit="1" customWidth="1"/>
    <col min="2311" max="2311" width="6.33203125" style="1" customWidth="1"/>
    <col min="2312" max="2312" width="1.5546875" style="1" bestFit="1" customWidth="1"/>
    <col min="2313" max="2313" width="6.33203125" style="1" customWidth="1"/>
    <col min="2314" max="2314" width="2" style="1" bestFit="1" customWidth="1"/>
    <col min="2315" max="2315" width="6.33203125" style="1" customWidth="1"/>
    <col min="2316" max="2316" width="1.44140625" style="1" customWidth="1"/>
    <col min="2317" max="2317" width="6.33203125" style="1" customWidth="1"/>
    <col min="2318" max="2318" width="1.5546875" style="1" bestFit="1" customWidth="1"/>
    <col min="2319" max="2319" width="6.33203125" style="1" customWidth="1"/>
    <col min="2320" max="2320" width="1.44140625" style="1" bestFit="1" customWidth="1"/>
    <col min="2321" max="2321" width="6.33203125" style="1" customWidth="1"/>
    <col min="2322" max="2322" width="1.44140625" style="1" bestFit="1" customWidth="1"/>
    <col min="2323" max="2326" width="6.33203125" style="1" customWidth="1"/>
    <col min="2327" max="2327" width="9.88671875" style="1" customWidth="1"/>
    <col min="2328" max="2560" width="11" style="1"/>
    <col min="2561" max="2561" width="2.6640625" style="1" customWidth="1"/>
    <col min="2562" max="2562" width="15.5546875" style="1" customWidth="1"/>
    <col min="2563" max="2563" width="6.33203125" style="1" customWidth="1"/>
    <col min="2564" max="2564" width="2.33203125" style="1" bestFit="1" customWidth="1"/>
    <col min="2565" max="2565" width="6.33203125" style="1" customWidth="1"/>
    <col min="2566" max="2566" width="1.5546875" style="1" bestFit="1" customWidth="1"/>
    <col min="2567" max="2567" width="6.33203125" style="1" customWidth="1"/>
    <col min="2568" max="2568" width="1.5546875" style="1" bestFit="1" customWidth="1"/>
    <col min="2569" max="2569" width="6.33203125" style="1" customWidth="1"/>
    <col min="2570" max="2570" width="2" style="1" bestFit="1" customWidth="1"/>
    <col min="2571" max="2571" width="6.33203125" style="1" customWidth="1"/>
    <col min="2572" max="2572" width="1.44140625" style="1" customWidth="1"/>
    <col min="2573" max="2573" width="6.33203125" style="1" customWidth="1"/>
    <col min="2574" max="2574" width="1.5546875" style="1" bestFit="1" customWidth="1"/>
    <col min="2575" max="2575" width="6.33203125" style="1" customWidth="1"/>
    <col min="2576" max="2576" width="1.44140625" style="1" bestFit="1" customWidth="1"/>
    <col min="2577" max="2577" width="6.33203125" style="1" customWidth="1"/>
    <col min="2578" max="2578" width="1.44140625" style="1" bestFit="1" customWidth="1"/>
    <col min="2579" max="2582" width="6.33203125" style="1" customWidth="1"/>
    <col min="2583" max="2583" width="9.88671875" style="1" customWidth="1"/>
    <col min="2584" max="2816" width="11" style="1"/>
    <col min="2817" max="2817" width="2.6640625" style="1" customWidth="1"/>
    <col min="2818" max="2818" width="15.5546875" style="1" customWidth="1"/>
    <col min="2819" max="2819" width="6.33203125" style="1" customWidth="1"/>
    <col min="2820" max="2820" width="2.33203125" style="1" bestFit="1" customWidth="1"/>
    <col min="2821" max="2821" width="6.33203125" style="1" customWidth="1"/>
    <col min="2822" max="2822" width="1.5546875" style="1" bestFit="1" customWidth="1"/>
    <col min="2823" max="2823" width="6.33203125" style="1" customWidth="1"/>
    <col min="2824" max="2824" width="1.5546875" style="1" bestFit="1" customWidth="1"/>
    <col min="2825" max="2825" width="6.33203125" style="1" customWidth="1"/>
    <col min="2826" max="2826" width="2" style="1" bestFit="1" customWidth="1"/>
    <col min="2827" max="2827" width="6.33203125" style="1" customWidth="1"/>
    <col min="2828" max="2828" width="1.44140625" style="1" customWidth="1"/>
    <col min="2829" max="2829" width="6.33203125" style="1" customWidth="1"/>
    <col min="2830" max="2830" width="1.5546875" style="1" bestFit="1" customWidth="1"/>
    <col min="2831" max="2831" width="6.33203125" style="1" customWidth="1"/>
    <col min="2832" max="2832" width="1.44140625" style="1" bestFit="1" customWidth="1"/>
    <col min="2833" max="2833" width="6.33203125" style="1" customWidth="1"/>
    <col min="2834" max="2834" width="1.44140625" style="1" bestFit="1" customWidth="1"/>
    <col min="2835" max="2838" width="6.33203125" style="1" customWidth="1"/>
    <col min="2839" max="2839" width="9.88671875" style="1" customWidth="1"/>
    <col min="2840" max="3072" width="11" style="1"/>
    <col min="3073" max="3073" width="2.6640625" style="1" customWidth="1"/>
    <col min="3074" max="3074" width="15.5546875" style="1" customWidth="1"/>
    <col min="3075" max="3075" width="6.33203125" style="1" customWidth="1"/>
    <col min="3076" max="3076" width="2.33203125" style="1" bestFit="1" customWidth="1"/>
    <col min="3077" max="3077" width="6.33203125" style="1" customWidth="1"/>
    <col min="3078" max="3078" width="1.5546875" style="1" bestFit="1" customWidth="1"/>
    <col min="3079" max="3079" width="6.33203125" style="1" customWidth="1"/>
    <col min="3080" max="3080" width="1.5546875" style="1" bestFit="1" customWidth="1"/>
    <col min="3081" max="3081" width="6.33203125" style="1" customWidth="1"/>
    <col min="3082" max="3082" width="2" style="1" bestFit="1" customWidth="1"/>
    <col min="3083" max="3083" width="6.33203125" style="1" customWidth="1"/>
    <col min="3084" max="3084" width="1.44140625" style="1" customWidth="1"/>
    <col min="3085" max="3085" width="6.33203125" style="1" customWidth="1"/>
    <col min="3086" max="3086" width="1.5546875" style="1" bestFit="1" customWidth="1"/>
    <col min="3087" max="3087" width="6.33203125" style="1" customWidth="1"/>
    <col min="3088" max="3088" width="1.44140625" style="1" bestFit="1" customWidth="1"/>
    <col min="3089" max="3089" width="6.33203125" style="1" customWidth="1"/>
    <col min="3090" max="3090" width="1.44140625" style="1" bestFit="1" customWidth="1"/>
    <col min="3091" max="3094" width="6.33203125" style="1" customWidth="1"/>
    <col min="3095" max="3095" width="9.88671875" style="1" customWidth="1"/>
    <col min="3096" max="3328" width="11" style="1"/>
    <col min="3329" max="3329" width="2.6640625" style="1" customWidth="1"/>
    <col min="3330" max="3330" width="15.5546875" style="1" customWidth="1"/>
    <col min="3331" max="3331" width="6.33203125" style="1" customWidth="1"/>
    <col min="3332" max="3332" width="2.33203125" style="1" bestFit="1" customWidth="1"/>
    <col min="3333" max="3333" width="6.33203125" style="1" customWidth="1"/>
    <col min="3334" max="3334" width="1.5546875" style="1" bestFit="1" customWidth="1"/>
    <col min="3335" max="3335" width="6.33203125" style="1" customWidth="1"/>
    <col min="3336" max="3336" width="1.5546875" style="1" bestFit="1" customWidth="1"/>
    <col min="3337" max="3337" width="6.33203125" style="1" customWidth="1"/>
    <col min="3338" max="3338" width="2" style="1" bestFit="1" customWidth="1"/>
    <col min="3339" max="3339" width="6.33203125" style="1" customWidth="1"/>
    <col min="3340" max="3340" width="1.44140625" style="1" customWidth="1"/>
    <col min="3341" max="3341" width="6.33203125" style="1" customWidth="1"/>
    <col min="3342" max="3342" width="1.5546875" style="1" bestFit="1" customWidth="1"/>
    <col min="3343" max="3343" width="6.33203125" style="1" customWidth="1"/>
    <col min="3344" max="3344" width="1.44140625" style="1" bestFit="1" customWidth="1"/>
    <col min="3345" max="3345" width="6.33203125" style="1" customWidth="1"/>
    <col min="3346" max="3346" width="1.44140625" style="1" bestFit="1" customWidth="1"/>
    <col min="3347" max="3350" width="6.33203125" style="1" customWidth="1"/>
    <col min="3351" max="3351" width="9.88671875" style="1" customWidth="1"/>
    <col min="3352" max="3584" width="11" style="1"/>
    <col min="3585" max="3585" width="2.6640625" style="1" customWidth="1"/>
    <col min="3586" max="3586" width="15.5546875" style="1" customWidth="1"/>
    <col min="3587" max="3587" width="6.33203125" style="1" customWidth="1"/>
    <col min="3588" max="3588" width="2.33203125" style="1" bestFit="1" customWidth="1"/>
    <col min="3589" max="3589" width="6.33203125" style="1" customWidth="1"/>
    <col min="3590" max="3590" width="1.5546875" style="1" bestFit="1" customWidth="1"/>
    <col min="3591" max="3591" width="6.33203125" style="1" customWidth="1"/>
    <col min="3592" max="3592" width="1.5546875" style="1" bestFit="1" customWidth="1"/>
    <col min="3593" max="3593" width="6.33203125" style="1" customWidth="1"/>
    <col min="3594" max="3594" width="2" style="1" bestFit="1" customWidth="1"/>
    <col min="3595" max="3595" width="6.33203125" style="1" customWidth="1"/>
    <col min="3596" max="3596" width="1.44140625" style="1" customWidth="1"/>
    <col min="3597" max="3597" width="6.33203125" style="1" customWidth="1"/>
    <col min="3598" max="3598" width="1.5546875" style="1" bestFit="1" customWidth="1"/>
    <col min="3599" max="3599" width="6.33203125" style="1" customWidth="1"/>
    <col min="3600" max="3600" width="1.44140625" style="1" bestFit="1" customWidth="1"/>
    <col min="3601" max="3601" width="6.33203125" style="1" customWidth="1"/>
    <col min="3602" max="3602" width="1.44140625" style="1" bestFit="1" customWidth="1"/>
    <col min="3603" max="3606" width="6.33203125" style="1" customWidth="1"/>
    <col min="3607" max="3607" width="9.88671875" style="1" customWidth="1"/>
    <col min="3608" max="3840" width="11" style="1"/>
    <col min="3841" max="3841" width="2.6640625" style="1" customWidth="1"/>
    <col min="3842" max="3842" width="15.5546875" style="1" customWidth="1"/>
    <col min="3843" max="3843" width="6.33203125" style="1" customWidth="1"/>
    <col min="3844" max="3844" width="2.33203125" style="1" bestFit="1" customWidth="1"/>
    <col min="3845" max="3845" width="6.33203125" style="1" customWidth="1"/>
    <col min="3846" max="3846" width="1.5546875" style="1" bestFit="1" customWidth="1"/>
    <col min="3847" max="3847" width="6.33203125" style="1" customWidth="1"/>
    <col min="3848" max="3848" width="1.5546875" style="1" bestFit="1" customWidth="1"/>
    <col min="3849" max="3849" width="6.33203125" style="1" customWidth="1"/>
    <col min="3850" max="3850" width="2" style="1" bestFit="1" customWidth="1"/>
    <col min="3851" max="3851" width="6.33203125" style="1" customWidth="1"/>
    <col min="3852" max="3852" width="1.44140625" style="1" customWidth="1"/>
    <col min="3853" max="3853" width="6.33203125" style="1" customWidth="1"/>
    <col min="3854" max="3854" width="1.5546875" style="1" bestFit="1" customWidth="1"/>
    <col min="3855" max="3855" width="6.33203125" style="1" customWidth="1"/>
    <col min="3856" max="3856" width="1.44140625" style="1" bestFit="1" customWidth="1"/>
    <col min="3857" max="3857" width="6.33203125" style="1" customWidth="1"/>
    <col min="3858" max="3858" width="1.44140625" style="1" bestFit="1" customWidth="1"/>
    <col min="3859" max="3862" width="6.33203125" style="1" customWidth="1"/>
    <col min="3863" max="3863" width="9.88671875" style="1" customWidth="1"/>
    <col min="3864" max="4096" width="11" style="1"/>
    <col min="4097" max="4097" width="2.6640625" style="1" customWidth="1"/>
    <col min="4098" max="4098" width="15.5546875" style="1" customWidth="1"/>
    <col min="4099" max="4099" width="6.33203125" style="1" customWidth="1"/>
    <col min="4100" max="4100" width="2.33203125" style="1" bestFit="1" customWidth="1"/>
    <col min="4101" max="4101" width="6.33203125" style="1" customWidth="1"/>
    <col min="4102" max="4102" width="1.5546875" style="1" bestFit="1" customWidth="1"/>
    <col min="4103" max="4103" width="6.33203125" style="1" customWidth="1"/>
    <col min="4104" max="4104" width="1.5546875" style="1" bestFit="1" customWidth="1"/>
    <col min="4105" max="4105" width="6.33203125" style="1" customWidth="1"/>
    <col min="4106" max="4106" width="2" style="1" bestFit="1" customWidth="1"/>
    <col min="4107" max="4107" width="6.33203125" style="1" customWidth="1"/>
    <col min="4108" max="4108" width="1.44140625" style="1" customWidth="1"/>
    <col min="4109" max="4109" width="6.33203125" style="1" customWidth="1"/>
    <col min="4110" max="4110" width="1.5546875" style="1" bestFit="1" customWidth="1"/>
    <col min="4111" max="4111" width="6.33203125" style="1" customWidth="1"/>
    <col min="4112" max="4112" width="1.44140625" style="1" bestFit="1" customWidth="1"/>
    <col min="4113" max="4113" width="6.33203125" style="1" customWidth="1"/>
    <col min="4114" max="4114" width="1.44140625" style="1" bestFit="1" customWidth="1"/>
    <col min="4115" max="4118" width="6.33203125" style="1" customWidth="1"/>
    <col min="4119" max="4119" width="9.88671875" style="1" customWidth="1"/>
    <col min="4120" max="4352" width="11" style="1"/>
    <col min="4353" max="4353" width="2.6640625" style="1" customWidth="1"/>
    <col min="4354" max="4354" width="15.5546875" style="1" customWidth="1"/>
    <col min="4355" max="4355" width="6.33203125" style="1" customWidth="1"/>
    <col min="4356" max="4356" width="2.33203125" style="1" bestFit="1" customWidth="1"/>
    <col min="4357" max="4357" width="6.33203125" style="1" customWidth="1"/>
    <col min="4358" max="4358" width="1.5546875" style="1" bestFit="1" customWidth="1"/>
    <col min="4359" max="4359" width="6.33203125" style="1" customWidth="1"/>
    <col min="4360" max="4360" width="1.5546875" style="1" bestFit="1" customWidth="1"/>
    <col min="4361" max="4361" width="6.33203125" style="1" customWidth="1"/>
    <col min="4362" max="4362" width="2" style="1" bestFit="1" customWidth="1"/>
    <col min="4363" max="4363" width="6.33203125" style="1" customWidth="1"/>
    <col min="4364" max="4364" width="1.44140625" style="1" customWidth="1"/>
    <col min="4365" max="4365" width="6.33203125" style="1" customWidth="1"/>
    <col min="4366" max="4366" width="1.5546875" style="1" bestFit="1" customWidth="1"/>
    <col min="4367" max="4367" width="6.33203125" style="1" customWidth="1"/>
    <col min="4368" max="4368" width="1.44140625" style="1" bestFit="1" customWidth="1"/>
    <col min="4369" max="4369" width="6.33203125" style="1" customWidth="1"/>
    <col min="4370" max="4370" width="1.44140625" style="1" bestFit="1" customWidth="1"/>
    <col min="4371" max="4374" width="6.33203125" style="1" customWidth="1"/>
    <col min="4375" max="4375" width="9.88671875" style="1" customWidth="1"/>
    <col min="4376" max="4608" width="11" style="1"/>
    <col min="4609" max="4609" width="2.6640625" style="1" customWidth="1"/>
    <col min="4610" max="4610" width="15.5546875" style="1" customWidth="1"/>
    <col min="4611" max="4611" width="6.33203125" style="1" customWidth="1"/>
    <col min="4612" max="4612" width="2.33203125" style="1" bestFit="1" customWidth="1"/>
    <col min="4613" max="4613" width="6.33203125" style="1" customWidth="1"/>
    <col min="4614" max="4614" width="1.5546875" style="1" bestFit="1" customWidth="1"/>
    <col min="4615" max="4615" width="6.33203125" style="1" customWidth="1"/>
    <col min="4616" max="4616" width="1.5546875" style="1" bestFit="1" customWidth="1"/>
    <col min="4617" max="4617" width="6.33203125" style="1" customWidth="1"/>
    <col min="4618" max="4618" width="2" style="1" bestFit="1" customWidth="1"/>
    <col min="4619" max="4619" width="6.33203125" style="1" customWidth="1"/>
    <col min="4620" max="4620" width="1.44140625" style="1" customWidth="1"/>
    <col min="4621" max="4621" width="6.33203125" style="1" customWidth="1"/>
    <col min="4622" max="4622" width="1.5546875" style="1" bestFit="1" customWidth="1"/>
    <col min="4623" max="4623" width="6.33203125" style="1" customWidth="1"/>
    <col min="4624" max="4624" width="1.44140625" style="1" bestFit="1" customWidth="1"/>
    <col min="4625" max="4625" width="6.33203125" style="1" customWidth="1"/>
    <col min="4626" max="4626" width="1.44140625" style="1" bestFit="1" customWidth="1"/>
    <col min="4627" max="4630" width="6.33203125" style="1" customWidth="1"/>
    <col min="4631" max="4631" width="9.88671875" style="1" customWidth="1"/>
    <col min="4632" max="4864" width="11" style="1"/>
    <col min="4865" max="4865" width="2.6640625" style="1" customWidth="1"/>
    <col min="4866" max="4866" width="15.5546875" style="1" customWidth="1"/>
    <col min="4867" max="4867" width="6.33203125" style="1" customWidth="1"/>
    <col min="4868" max="4868" width="2.33203125" style="1" bestFit="1" customWidth="1"/>
    <col min="4869" max="4869" width="6.33203125" style="1" customWidth="1"/>
    <col min="4870" max="4870" width="1.5546875" style="1" bestFit="1" customWidth="1"/>
    <col min="4871" max="4871" width="6.33203125" style="1" customWidth="1"/>
    <col min="4872" max="4872" width="1.5546875" style="1" bestFit="1" customWidth="1"/>
    <col min="4873" max="4873" width="6.33203125" style="1" customWidth="1"/>
    <col min="4874" max="4874" width="2" style="1" bestFit="1" customWidth="1"/>
    <col min="4875" max="4875" width="6.33203125" style="1" customWidth="1"/>
    <col min="4876" max="4876" width="1.44140625" style="1" customWidth="1"/>
    <col min="4877" max="4877" width="6.33203125" style="1" customWidth="1"/>
    <col min="4878" max="4878" width="1.5546875" style="1" bestFit="1" customWidth="1"/>
    <col min="4879" max="4879" width="6.33203125" style="1" customWidth="1"/>
    <col min="4880" max="4880" width="1.44140625" style="1" bestFit="1" customWidth="1"/>
    <col min="4881" max="4881" width="6.33203125" style="1" customWidth="1"/>
    <col min="4882" max="4882" width="1.44140625" style="1" bestFit="1" customWidth="1"/>
    <col min="4883" max="4886" width="6.33203125" style="1" customWidth="1"/>
    <col min="4887" max="4887" width="9.88671875" style="1" customWidth="1"/>
    <col min="4888" max="5120" width="11" style="1"/>
    <col min="5121" max="5121" width="2.6640625" style="1" customWidth="1"/>
    <col min="5122" max="5122" width="15.5546875" style="1" customWidth="1"/>
    <col min="5123" max="5123" width="6.33203125" style="1" customWidth="1"/>
    <col min="5124" max="5124" width="2.33203125" style="1" bestFit="1" customWidth="1"/>
    <col min="5125" max="5125" width="6.33203125" style="1" customWidth="1"/>
    <col min="5126" max="5126" width="1.5546875" style="1" bestFit="1" customWidth="1"/>
    <col min="5127" max="5127" width="6.33203125" style="1" customWidth="1"/>
    <col min="5128" max="5128" width="1.5546875" style="1" bestFit="1" customWidth="1"/>
    <col min="5129" max="5129" width="6.33203125" style="1" customWidth="1"/>
    <col min="5130" max="5130" width="2" style="1" bestFit="1" customWidth="1"/>
    <col min="5131" max="5131" width="6.33203125" style="1" customWidth="1"/>
    <col min="5132" max="5132" width="1.44140625" style="1" customWidth="1"/>
    <col min="5133" max="5133" width="6.33203125" style="1" customWidth="1"/>
    <col min="5134" max="5134" width="1.5546875" style="1" bestFit="1" customWidth="1"/>
    <col min="5135" max="5135" width="6.33203125" style="1" customWidth="1"/>
    <col min="5136" max="5136" width="1.44140625" style="1" bestFit="1" customWidth="1"/>
    <col min="5137" max="5137" width="6.33203125" style="1" customWidth="1"/>
    <col min="5138" max="5138" width="1.44140625" style="1" bestFit="1" customWidth="1"/>
    <col min="5139" max="5142" width="6.33203125" style="1" customWidth="1"/>
    <col min="5143" max="5143" width="9.88671875" style="1" customWidth="1"/>
    <col min="5144" max="5376" width="11" style="1"/>
    <col min="5377" max="5377" width="2.6640625" style="1" customWidth="1"/>
    <col min="5378" max="5378" width="15.5546875" style="1" customWidth="1"/>
    <col min="5379" max="5379" width="6.33203125" style="1" customWidth="1"/>
    <col min="5380" max="5380" width="2.33203125" style="1" bestFit="1" customWidth="1"/>
    <col min="5381" max="5381" width="6.33203125" style="1" customWidth="1"/>
    <col min="5382" max="5382" width="1.5546875" style="1" bestFit="1" customWidth="1"/>
    <col min="5383" max="5383" width="6.33203125" style="1" customWidth="1"/>
    <col min="5384" max="5384" width="1.5546875" style="1" bestFit="1" customWidth="1"/>
    <col min="5385" max="5385" width="6.33203125" style="1" customWidth="1"/>
    <col min="5386" max="5386" width="2" style="1" bestFit="1" customWidth="1"/>
    <col min="5387" max="5387" width="6.33203125" style="1" customWidth="1"/>
    <col min="5388" max="5388" width="1.44140625" style="1" customWidth="1"/>
    <col min="5389" max="5389" width="6.33203125" style="1" customWidth="1"/>
    <col min="5390" max="5390" width="1.5546875" style="1" bestFit="1" customWidth="1"/>
    <col min="5391" max="5391" width="6.33203125" style="1" customWidth="1"/>
    <col min="5392" max="5392" width="1.44140625" style="1" bestFit="1" customWidth="1"/>
    <col min="5393" max="5393" width="6.33203125" style="1" customWidth="1"/>
    <col min="5394" max="5394" width="1.44140625" style="1" bestFit="1" customWidth="1"/>
    <col min="5395" max="5398" width="6.33203125" style="1" customWidth="1"/>
    <col min="5399" max="5399" width="9.88671875" style="1" customWidth="1"/>
    <col min="5400" max="5632" width="11" style="1"/>
    <col min="5633" max="5633" width="2.6640625" style="1" customWidth="1"/>
    <col min="5634" max="5634" width="15.5546875" style="1" customWidth="1"/>
    <col min="5635" max="5635" width="6.33203125" style="1" customWidth="1"/>
    <col min="5636" max="5636" width="2.33203125" style="1" bestFit="1" customWidth="1"/>
    <col min="5637" max="5637" width="6.33203125" style="1" customWidth="1"/>
    <col min="5638" max="5638" width="1.5546875" style="1" bestFit="1" customWidth="1"/>
    <col min="5639" max="5639" width="6.33203125" style="1" customWidth="1"/>
    <col min="5640" max="5640" width="1.5546875" style="1" bestFit="1" customWidth="1"/>
    <col min="5641" max="5641" width="6.33203125" style="1" customWidth="1"/>
    <col min="5642" max="5642" width="2" style="1" bestFit="1" customWidth="1"/>
    <col min="5643" max="5643" width="6.33203125" style="1" customWidth="1"/>
    <col min="5644" max="5644" width="1.44140625" style="1" customWidth="1"/>
    <col min="5645" max="5645" width="6.33203125" style="1" customWidth="1"/>
    <col min="5646" max="5646" width="1.5546875" style="1" bestFit="1" customWidth="1"/>
    <col min="5647" max="5647" width="6.33203125" style="1" customWidth="1"/>
    <col min="5648" max="5648" width="1.44140625" style="1" bestFit="1" customWidth="1"/>
    <col min="5649" max="5649" width="6.33203125" style="1" customWidth="1"/>
    <col min="5650" max="5650" width="1.44140625" style="1" bestFit="1" customWidth="1"/>
    <col min="5651" max="5654" width="6.33203125" style="1" customWidth="1"/>
    <col min="5655" max="5655" width="9.88671875" style="1" customWidth="1"/>
    <col min="5656" max="5888" width="11" style="1"/>
    <col min="5889" max="5889" width="2.6640625" style="1" customWidth="1"/>
    <col min="5890" max="5890" width="15.5546875" style="1" customWidth="1"/>
    <col min="5891" max="5891" width="6.33203125" style="1" customWidth="1"/>
    <col min="5892" max="5892" width="2.33203125" style="1" bestFit="1" customWidth="1"/>
    <col min="5893" max="5893" width="6.33203125" style="1" customWidth="1"/>
    <col min="5894" max="5894" width="1.5546875" style="1" bestFit="1" customWidth="1"/>
    <col min="5895" max="5895" width="6.33203125" style="1" customWidth="1"/>
    <col min="5896" max="5896" width="1.5546875" style="1" bestFit="1" customWidth="1"/>
    <col min="5897" max="5897" width="6.33203125" style="1" customWidth="1"/>
    <col min="5898" max="5898" width="2" style="1" bestFit="1" customWidth="1"/>
    <col min="5899" max="5899" width="6.33203125" style="1" customWidth="1"/>
    <col min="5900" max="5900" width="1.44140625" style="1" customWidth="1"/>
    <col min="5901" max="5901" width="6.33203125" style="1" customWidth="1"/>
    <col min="5902" max="5902" width="1.5546875" style="1" bestFit="1" customWidth="1"/>
    <col min="5903" max="5903" width="6.33203125" style="1" customWidth="1"/>
    <col min="5904" max="5904" width="1.44140625" style="1" bestFit="1" customWidth="1"/>
    <col min="5905" max="5905" width="6.33203125" style="1" customWidth="1"/>
    <col min="5906" max="5906" width="1.44140625" style="1" bestFit="1" customWidth="1"/>
    <col min="5907" max="5910" width="6.33203125" style="1" customWidth="1"/>
    <col min="5911" max="5911" width="9.88671875" style="1" customWidth="1"/>
    <col min="5912" max="6144" width="11" style="1"/>
    <col min="6145" max="6145" width="2.6640625" style="1" customWidth="1"/>
    <col min="6146" max="6146" width="15.5546875" style="1" customWidth="1"/>
    <col min="6147" max="6147" width="6.33203125" style="1" customWidth="1"/>
    <col min="6148" max="6148" width="2.33203125" style="1" bestFit="1" customWidth="1"/>
    <col min="6149" max="6149" width="6.33203125" style="1" customWidth="1"/>
    <col min="6150" max="6150" width="1.5546875" style="1" bestFit="1" customWidth="1"/>
    <col min="6151" max="6151" width="6.33203125" style="1" customWidth="1"/>
    <col min="6152" max="6152" width="1.5546875" style="1" bestFit="1" customWidth="1"/>
    <col min="6153" max="6153" width="6.33203125" style="1" customWidth="1"/>
    <col min="6154" max="6154" width="2" style="1" bestFit="1" customWidth="1"/>
    <col min="6155" max="6155" width="6.33203125" style="1" customWidth="1"/>
    <col min="6156" max="6156" width="1.44140625" style="1" customWidth="1"/>
    <col min="6157" max="6157" width="6.33203125" style="1" customWidth="1"/>
    <col min="6158" max="6158" width="1.5546875" style="1" bestFit="1" customWidth="1"/>
    <col min="6159" max="6159" width="6.33203125" style="1" customWidth="1"/>
    <col min="6160" max="6160" width="1.44140625" style="1" bestFit="1" customWidth="1"/>
    <col min="6161" max="6161" width="6.33203125" style="1" customWidth="1"/>
    <col min="6162" max="6162" width="1.44140625" style="1" bestFit="1" customWidth="1"/>
    <col min="6163" max="6166" width="6.33203125" style="1" customWidth="1"/>
    <col min="6167" max="6167" width="9.88671875" style="1" customWidth="1"/>
    <col min="6168" max="6400" width="11" style="1"/>
    <col min="6401" max="6401" width="2.6640625" style="1" customWidth="1"/>
    <col min="6402" max="6402" width="15.5546875" style="1" customWidth="1"/>
    <col min="6403" max="6403" width="6.33203125" style="1" customWidth="1"/>
    <col min="6404" max="6404" width="2.33203125" style="1" bestFit="1" customWidth="1"/>
    <col min="6405" max="6405" width="6.33203125" style="1" customWidth="1"/>
    <col min="6406" max="6406" width="1.5546875" style="1" bestFit="1" customWidth="1"/>
    <col min="6407" max="6407" width="6.33203125" style="1" customWidth="1"/>
    <col min="6408" max="6408" width="1.5546875" style="1" bestFit="1" customWidth="1"/>
    <col min="6409" max="6409" width="6.33203125" style="1" customWidth="1"/>
    <col min="6410" max="6410" width="2" style="1" bestFit="1" customWidth="1"/>
    <col min="6411" max="6411" width="6.33203125" style="1" customWidth="1"/>
    <col min="6412" max="6412" width="1.44140625" style="1" customWidth="1"/>
    <col min="6413" max="6413" width="6.33203125" style="1" customWidth="1"/>
    <col min="6414" max="6414" width="1.5546875" style="1" bestFit="1" customWidth="1"/>
    <col min="6415" max="6415" width="6.33203125" style="1" customWidth="1"/>
    <col min="6416" max="6416" width="1.44140625" style="1" bestFit="1" customWidth="1"/>
    <col min="6417" max="6417" width="6.33203125" style="1" customWidth="1"/>
    <col min="6418" max="6418" width="1.44140625" style="1" bestFit="1" customWidth="1"/>
    <col min="6419" max="6422" width="6.33203125" style="1" customWidth="1"/>
    <col min="6423" max="6423" width="9.88671875" style="1" customWidth="1"/>
    <col min="6424" max="6656" width="11" style="1"/>
    <col min="6657" max="6657" width="2.6640625" style="1" customWidth="1"/>
    <col min="6658" max="6658" width="15.5546875" style="1" customWidth="1"/>
    <col min="6659" max="6659" width="6.33203125" style="1" customWidth="1"/>
    <col min="6660" max="6660" width="2.33203125" style="1" bestFit="1" customWidth="1"/>
    <col min="6661" max="6661" width="6.33203125" style="1" customWidth="1"/>
    <col min="6662" max="6662" width="1.5546875" style="1" bestFit="1" customWidth="1"/>
    <col min="6663" max="6663" width="6.33203125" style="1" customWidth="1"/>
    <col min="6664" max="6664" width="1.5546875" style="1" bestFit="1" customWidth="1"/>
    <col min="6665" max="6665" width="6.33203125" style="1" customWidth="1"/>
    <col min="6666" max="6666" width="2" style="1" bestFit="1" customWidth="1"/>
    <col min="6667" max="6667" width="6.33203125" style="1" customWidth="1"/>
    <col min="6668" max="6668" width="1.44140625" style="1" customWidth="1"/>
    <col min="6669" max="6669" width="6.33203125" style="1" customWidth="1"/>
    <col min="6670" max="6670" width="1.5546875" style="1" bestFit="1" customWidth="1"/>
    <col min="6671" max="6671" width="6.33203125" style="1" customWidth="1"/>
    <col min="6672" max="6672" width="1.44140625" style="1" bestFit="1" customWidth="1"/>
    <col min="6673" max="6673" width="6.33203125" style="1" customWidth="1"/>
    <col min="6674" max="6674" width="1.44140625" style="1" bestFit="1" customWidth="1"/>
    <col min="6675" max="6678" width="6.33203125" style="1" customWidth="1"/>
    <col min="6679" max="6679" width="9.88671875" style="1" customWidth="1"/>
    <col min="6680" max="6912" width="11" style="1"/>
    <col min="6913" max="6913" width="2.6640625" style="1" customWidth="1"/>
    <col min="6914" max="6914" width="15.5546875" style="1" customWidth="1"/>
    <col min="6915" max="6915" width="6.33203125" style="1" customWidth="1"/>
    <col min="6916" max="6916" width="2.33203125" style="1" bestFit="1" customWidth="1"/>
    <col min="6917" max="6917" width="6.33203125" style="1" customWidth="1"/>
    <col min="6918" max="6918" width="1.5546875" style="1" bestFit="1" customWidth="1"/>
    <col min="6919" max="6919" width="6.33203125" style="1" customWidth="1"/>
    <col min="6920" max="6920" width="1.5546875" style="1" bestFit="1" customWidth="1"/>
    <col min="6921" max="6921" width="6.33203125" style="1" customWidth="1"/>
    <col min="6922" max="6922" width="2" style="1" bestFit="1" customWidth="1"/>
    <col min="6923" max="6923" width="6.33203125" style="1" customWidth="1"/>
    <col min="6924" max="6924" width="1.44140625" style="1" customWidth="1"/>
    <col min="6925" max="6925" width="6.33203125" style="1" customWidth="1"/>
    <col min="6926" max="6926" width="1.5546875" style="1" bestFit="1" customWidth="1"/>
    <col min="6927" max="6927" width="6.33203125" style="1" customWidth="1"/>
    <col min="6928" max="6928" width="1.44140625" style="1" bestFit="1" customWidth="1"/>
    <col min="6929" max="6929" width="6.33203125" style="1" customWidth="1"/>
    <col min="6930" max="6930" width="1.44140625" style="1" bestFit="1" customWidth="1"/>
    <col min="6931" max="6934" width="6.33203125" style="1" customWidth="1"/>
    <col min="6935" max="6935" width="9.88671875" style="1" customWidth="1"/>
    <col min="6936" max="7168" width="11" style="1"/>
    <col min="7169" max="7169" width="2.6640625" style="1" customWidth="1"/>
    <col min="7170" max="7170" width="15.5546875" style="1" customWidth="1"/>
    <col min="7171" max="7171" width="6.33203125" style="1" customWidth="1"/>
    <col min="7172" max="7172" width="2.33203125" style="1" bestFit="1" customWidth="1"/>
    <col min="7173" max="7173" width="6.33203125" style="1" customWidth="1"/>
    <col min="7174" max="7174" width="1.5546875" style="1" bestFit="1" customWidth="1"/>
    <col min="7175" max="7175" width="6.33203125" style="1" customWidth="1"/>
    <col min="7176" max="7176" width="1.5546875" style="1" bestFit="1" customWidth="1"/>
    <col min="7177" max="7177" width="6.33203125" style="1" customWidth="1"/>
    <col min="7178" max="7178" width="2" style="1" bestFit="1" customWidth="1"/>
    <col min="7179" max="7179" width="6.33203125" style="1" customWidth="1"/>
    <col min="7180" max="7180" width="1.44140625" style="1" customWidth="1"/>
    <col min="7181" max="7181" width="6.33203125" style="1" customWidth="1"/>
    <col min="7182" max="7182" width="1.5546875" style="1" bestFit="1" customWidth="1"/>
    <col min="7183" max="7183" width="6.33203125" style="1" customWidth="1"/>
    <col min="7184" max="7184" width="1.44140625" style="1" bestFit="1" customWidth="1"/>
    <col min="7185" max="7185" width="6.33203125" style="1" customWidth="1"/>
    <col min="7186" max="7186" width="1.44140625" style="1" bestFit="1" customWidth="1"/>
    <col min="7187" max="7190" width="6.33203125" style="1" customWidth="1"/>
    <col min="7191" max="7191" width="9.88671875" style="1" customWidth="1"/>
    <col min="7192" max="7424" width="11" style="1"/>
    <col min="7425" max="7425" width="2.6640625" style="1" customWidth="1"/>
    <col min="7426" max="7426" width="15.5546875" style="1" customWidth="1"/>
    <col min="7427" max="7427" width="6.33203125" style="1" customWidth="1"/>
    <col min="7428" max="7428" width="2.33203125" style="1" bestFit="1" customWidth="1"/>
    <col min="7429" max="7429" width="6.33203125" style="1" customWidth="1"/>
    <col min="7430" max="7430" width="1.5546875" style="1" bestFit="1" customWidth="1"/>
    <col min="7431" max="7431" width="6.33203125" style="1" customWidth="1"/>
    <col min="7432" max="7432" width="1.5546875" style="1" bestFit="1" customWidth="1"/>
    <col min="7433" max="7433" width="6.33203125" style="1" customWidth="1"/>
    <col min="7434" max="7434" width="2" style="1" bestFit="1" customWidth="1"/>
    <col min="7435" max="7435" width="6.33203125" style="1" customWidth="1"/>
    <col min="7436" max="7436" width="1.44140625" style="1" customWidth="1"/>
    <col min="7437" max="7437" width="6.33203125" style="1" customWidth="1"/>
    <col min="7438" max="7438" width="1.5546875" style="1" bestFit="1" customWidth="1"/>
    <col min="7439" max="7439" width="6.33203125" style="1" customWidth="1"/>
    <col min="7440" max="7440" width="1.44140625" style="1" bestFit="1" customWidth="1"/>
    <col min="7441" max="7441" width="6.33203125" style="1" customWidth="1"/>
    <col min="7442" max="7442" width="1.44140625" style="1" bestFit="1" customWidth="1"/>
    <col min="7443" max="7446" width="6.33203125" style="1" customWidth="1"/>
    <col min="7447" max="7447" width="9.88671875" style="1" customWidth="1"/>
    <col min="7448" max="7680" width="11" style="1"/>
    <col min="7681" max="7681" width="2.6640625" style="1" customWidth="1"/>
    <col min="7682" max="7682" width="15.5546875" style="1" customWidth="1"/>
    <col min="7683" max="7683" width="6.33203125" style="1" customWidth="1"/>
    <col min="7684" max="7684" width="2.33203125" style="1" bestFit="1" customWidth="1"/>
    <col min="7685" max="7685" width="6.33203125" style="1" customWidth="1"/>
    <col min="7686" max="7686" width="1.5546875" style="1" bestFit="1" customWidth="1"/>
    <col min="7687" max="7687" width="6.33203125" style="1" customWidth="1"/>
    <col min="7688" max="7688" width="1.5546875" style="1" bestFit="1" customWidth="1"/>
    <col min="7689" max="7689" width="6.33203125" style="1" customWidth="1"/>
    <col min="7690" max="7690" width="2" style="1" bestFit="1" customWidth="1"/>
    <col min="7691" max="7691" width="6.33203125" style="1" customWidth="1"/>
    <col min="7692" max="7692" width="1.44140625" style="1" customWidth="1"/>
    <col min="7693" max="7693" width="6.33203125" style="1" customWidth="1"/>
    <col min="7694" max="7694" width="1.5546875" style="1" bestFit="1" customWidth="1"/>
    <col min="7695" max="7695" width="6.33203125" style="1" customWidth="1"/>
    <col min="7696" max="7696" width="1.44140625" style="1" bestFit="1" customWidth="1"/>
    <col min="7697" max="7697" width="6.33203125" style="1" customWidth="1"/>
    <col min="7698" max="7698" width="1.44140625" style="1" bestFit="1" customWidth="1"/>
    <col min="7699" max="7702" width="6.33203125" style="1" customWidth="1"/>
    <col min="7703" max="7703" width="9.88671875" style="1" customWidth="1"/>
    <col min="7704" max="7936" width="11" style="1"/>
    <col min="7937" max="7937" width="2.6640625" style="1" customWidth="1"/>
    <col min="7938" max="7938" width="15.5546875" style="1" customWidth="1"/>
    <col min="7939" max="7939" width="6.33203125" style="1" customWidth="1"/>
    <col min="7940" max="7940" width="2.33203125" style="1" bestFit="1" customWidth="1"/>
    <col min="7941" max="7941" width="6.33203125" style="1" customWidth="1"/>
    <col min="7942" max="7942" width="1.5546875" style="1" bestFit="1" customWidth="1"/>
    <col min="7943" max="7943" width="6.33203125" style="1" customWidth="1"/>
    <col min="7944" max="7944" width="1.5546875" style="1" bestFit="1" customWidth="1"/>
    <col min="7945" max="7945" width="6.33203125" style="1" customWidth="1"/>
    <col min="7946" max="7946" width="2" style="1" bestFit="1" customWidth="1"/>
    <col min="7947" max="7947" width="6.33203125" style="1" customWidth="1"/>
    <col min="7948" max="7948" width="1.44140625" style="1" customWidth="1"/>
    <col min="7949" max="7949" width="6.33203125" style="1" customWidth="1"/>
    <col min="7950" max="7950" width="1.5546875" style="1" bestFit="1" customWidth="1"/>
    <col min="7951" max="7951" width="6.33203125" style="1" customWidth="1"/>
    <col min="7952" max="7952" width="1.44140625" style="1" bestFit="1" customWidth="1"/>
    <col min="7953" max="7953" width="6.33203125" style="1" customWidth="1"/>
    <col min="7954" max="7954" width="1.44140625" style="1" bestFit="1" customWidth="1"/>
    <col min="7955" max="7958" width="6.33203125" style="1" customWidth="1"/>
    <col min="7959" max="7959" width="9.88671875" style="1" customWidth="1"/>
    <col min="7960" max="8192" width="11" style="1"/>
    <col min="8193" max="8193" width="2.6640625" style="1" customWidth="1"/>
    <col min="8194" max="8194" width="15.5546875" style="1" customWidth="1"/>
    <col min="8195" max="8195" width="6.33203125" style="1" customWidth="1"/>
    <col min="8196" max="8196" width="2.33203125" style="1" bestFit="1" customWidth="1"/>
    <col min="8197" max="8197" width="6.33203125" style="1" customWidth="1"/>
    <col min="8198" max="8198" width="1.5546875" style="1" bestFit="1" customWidth="1"/>
    <col min="8199" max="8199" width="6.33203125" style="1" customWidth="1"/>
    <col min="8200" max="8200" width="1.5546875" style="1" bestFit="1" customWidth="1"/>
    <col min="8201" max="8201" width="6.33203125" style="1" customWidth="1"/>
    <col min="8202" max="8202" width="2" style="1" bestFit="1" customWidth="1"/>
    <col min="8203" max="8203" width="6.33203125" style="1" customWidth="1"/>
    <col min="8204" max="8204" width="1.44140625" style="1" customWidth="1"/>
    <col min="8205" max="8205" width="6.33203125" style="1" customWidth="1"/>
    <col min="8206" max="8206" width="1.5546875" style="1" bestFit="1" customWidth="1"/>
    <col min="8207" max="8207" width="6.33203125" style="1" customWidth="1"/>
    <col min="8208" max="8208" width="1.44140625" style="1" bestFit="1" customWidth="1"/>
    <col min="8209" max="8209" width="6.33203125" style="1" customWidth="1"/>
    <col min="8210" max="8210" width="1.44140625" style="1" bestFit="1" customWidth="1"/>
    <col min="8211" max="8214" width="6.33203125" style="1" customWidth="1"/>
    <col min="8215" max="8215" width="9.88671875" style="1" customWidth="1"/>
    <col min="8216" max="8448" width="11" style="1"/>
    <col min="8449" max="8449" width="2.6640625" style="1" customWidth="1"/>
    <col min="8450" max="8450" width="15.5546875" style="1" customWidth="1"/>
    <col min="8451" max="8451" width="6.33203125" style="1" customWidth="1"/>
    <col min="8452" max="8452" width="2.33203125" style="1" bestFit="1" customWidth="1"/>
    <col min="8453" max="8453" width="6.33203125" style="1" customWidth="1"/>
    <col min="8454" max="8454" width="1.5546875" style="1" bestFit="1" customWidth="1"/>
    <col min="8455" max="8455" width="6.33203125" style="1" customWidth="1"/>
    <col min="8456" max="8456" width="1.5546875" style="1" bestFit="1" customWidth="1"/>
    <col min="8457" max="8457" width="6.33203125" style="1" customWidth="1"/>
    <col min="8458" max="8458" width="2" style="1" bestFit="1" customWidth="1"/>
    <col min="8459" max="8459" width="6.33203125" style="1" customWidth="1"/>
    <col min="8460" max="8460" width="1.44140625" style="1" customWidth="1"/>
    <col min="8461" max="8461" width="6.33203125" style="1" customWidth="1"/>
    <col min="8462" max="8462" width="1.5546875" style="1" bestFit="1" customWidth="1"/>
    <col min="8463" max="8463" width="6.33203125" style="1" customWidth="1"/>
    <col min="8464" max="8464" width="1.44140625" style="1" bestFit="1" customWidth="1"/>
    <col min="8465" max="8465" width="6.33203125" style="1" customWidth="1"/>
    <col min="8466" max="8466" width="1.44140625" style="1" bestFit="1" customWidth="1"/>
    <col min="8467" max="8470" width="6.33203125" style="1" customWidth="1"/>
    <col min="8471" max="8471" width="9.88671875" style="1" customWidth="1"/>
    <col min="8472" max="8704" width="11" style="1"/>
    <col min="8705" max="8705" width="2.6640625" style="1" customWidth="1"/>
    <col min="8706" max="8706" width="15.5546875" style="1" customWidth="1"/>
    <col min="8707" max="8707" width="6.33203125" style="1" customWidth="1"/>
    <col min="8708" max="8708" width="2.33203125" style="1" bestFit="1" customWidth="1"/>
    <col min="8709" max="8709" width="6.33203125" style="1" customWidth="1"/>
    <col min="8710" max="8710" width="1.5546875" style="1" bestFit="1" customWidth="1"/>
    <col min="8711" max="8711" width="6.33203125" style="1" customWidth="1"/>
    <col min="8712" max="8712" width="1.5546875" style="1" bestFit="1" customWidth="1"/>
    <col min="8713" max="8713" width="6.33203125" style="1" customWidth="1"/>
    <col min="8714" max="8714" width="2" style="1" bestFit="1" customWidth="1"/>
    <col min="8715" max="8715" width="6.33203125" style="1" customWidth="1"/>
    <col min="8716" max="8716" width="1.44140625" style="1" customWidth="1"/>
    <col min="8717" max="8717" width="6.33203125" style="1" customWidth="1"/>
    <col min="8718" max="8718" width="1.5546875" style="1" bestFit="1" customWidth="1"/>
    <col min="8719" max="8719" width="6.33203125" style="1" customWidth="1"/>
    <col min="8720" max="8720" width="1.44140625" style="1" bestFit="1" customWidth="1"/>
    <col min="8721" max="8721" width="6.33203125" style="1" customWidth="1"/>
    <col min="8722" max="8722" width="1.44140625" style="1" bestFit="1" customWidth="1"/>
    <col min="8723" max="8726" width="6.33203125" style="1" customWidth="1"/>
    <col min="8727" max="8727" width="9.88671875" style="1" customWidth="1"/>
    <col min="8728" max="8960" width="11" style="1"/>
    <col min="8961" max="8961" width="2.6640625" style="1" customWidth="1"/>
    <col min="8962" max="8962" width="15.5546875" style="1" customWidth="1"/>
    <col min="8963" max="8963" width="6.33203125" style="1" customWidth="1"/>
    <col min="8964" max="8964" width="2.33203125" style="1" bestFit="1" customWidth="1"/>
    <col min="8965" max="8965" width="6.33203125" style="1" customWidth="1"/>
    <col min="8966" max="8966" width="1.5546875" style="1" bestFit="1" customWidth="1"/>
    <col min="8967" max="8967" width="6.33203125" style="1" customWidth="1"/>
    <col min="8968" max="8968" width="1.5546875" style="1" bestFit="1" customWidth="1"/>
    <col min="8969" max="8969" width="6.33203125" style="1" customWidth="1"/>
    <col min="8970" max="8970" width="2" style="1" bestFit="1" customWidth="1"/>
    <col min="8971" max="8971" width="6.33203125" style="1" customWidth="1"/>
    <col min="8972" max="8972" width="1.44140625" style="1" customWidth="1"/>
    <col min="8973" max="8973" width="6.33203125" style="1" customWidth="1"/>
    <col min="8974" max="8974" width="1.5546875" style="1" bestFit="1" customWidth="1"/>
    <col min="8975" max="8975" width="6.33203125" style="1" customWidth="1"/>
    <col min="8976" max="8976" width="1.44140625" style="1" bestFit="1" customWidth="1"/>
    <col min="8977" max="8977" width="6.33203125" style="1" customWidth="1"/>
    <col min="8978" max="8978" width="1.44140625" style="1" bestFit="1" customWidth="1"/>
    <col min="8979" max="8982" width="6.33203125" style="1" customWidth="1"/>
    <col min="8983" max="8983" width="9.88671875" style="1" customWidth="1"/>
    <col min="8984" max="9216" width="11" style="1"/>
    <col min="9217" max="9217" width="2.6640625" style="1" customWidth="1"/>
    <col min="9218" max="9218" width="15.5546875" style="1" customWidth="1"/>
    <col min="9219" max="9219" width="6.33203125" style="1" customWidth="1"/>
    <col min="9220" max="9220" width="2.33203125" style="1" bestFit="1" customWidth="1"/>
    <col min="9221" max="9221" width="6.33203125" style="1" customWidth="1"/>
    <col min="9222" max="9222" width="1.5546875" style="1" bestFit="1" customWidth="1"/>
    <col min="9223" max="9223" width="6.33203125" style="1" customWidth="1"/>
    <col min="9224" max="9224" width="1.5546875" style="1" bestFit="1" customWidth="1"/>
    <col min="9225" max="9225" width="6.33203125" style="1" customWidth="1"/>
    <col min="9226" max="9226" width="2" style="1" bestFit="1" customWidth="1"/>
    <col min="9227" max="9227" width="6.33203125" style="1" customWidth="1"/>
    <col min="9228" max="9228" width="1.44140625" style="1" customWidth="1"/>
    <col min="9229" max="9229" width="6.33203125" style="1" customWidth="1"/>
    <col min="9230" max="9230" width="1.5546875" style="1" bestFit="1" customWidth="1"/>
    <col min="9231" max="9231" width="6.33203125" style="1" customWidth="1"/>
    <col min="9232" max="9232" width="1.44140625" style="1" bestFit="1" customWidth="1"/>
    <col min="9233" max="9233" width="6.33203125" style="1" customWidth="1"/>
    <col min="9234" max="9234" width="1.44140625" style="1" bestFit="1" customWidth="1"/>
    <col min="9235" max="9238" width="6.33203125" style="1" customWidth="1"/>
    <col min="9239" max="9239" width="9.88671875" style="1" customWidth="1"/>
    <col min="9240" max="9472" width="11" style="1"/>
    <col min="9473" max="9473" width="2.6640625" style="1" customWidth="1"/>
    <col min="9474" max="9474" width="15.5546875" style="1" customWidth="1"/>
    <col min="9475" max="9475" width="6.33203125" style="1" customWidth="1"/>
    <col min="9476" max="9476" width="2.33203125" style="1" bestFit="1" customWidth="1"/>
    <col min="9477" max="9477" width="6.33203125" style="1" customWidth="1"/>
    <col min="9478" max="9478" width="1.5546875" style="1" bestFit="1" customWidth="1"/>
    <col min="9479" max="9479" width="6.33203125" style="1" customWidth="1"/>
    <col min="9480" max="9480" width="1.5546875" style="1" bestFit="1" customWidth="1"/>
    <col min="9481" max="9481" width="6.33203125" style="1" customWidth="1"/>
    <col min="9482" max="9482" width="2" style="1" bestFit="1" customWidth="1"/>
    <col min="9483" max="9483" width="6.33203125" style="1" customWidth="1"/>
    <col min="9484" max="9484" width="1.44140625" style="1" customWidth="1"/>
    <col min="9485" max="9485" width="6.33203125" style="1" customWidth="1"/>
    <col min="9486" max="9486" width="1.5546875" style="1" bestFit="1" customWidth="1"/>
    <col min="9487" max="9487" width="6.33203125" style="1" customWidth="1"/>
    <col min="9488" max="9488" width="1.44140625" style="1" bestFit="1" customWidth="1"/>
    <col min="9489" max="9489" width="6.33203125" style="1" customWidth="1"/>
    <col min="9490" max="9490" width="1.44140625" style="1" bestFit="1" customWidth="1"/>
    <col min="9491" max="9494" width="6.33203125" style="1" customWidth="1"/>
    <col min="9495" max="9495" width="9.88671875" style="1" customWidth="1"/>
    <col min="9496" max="9728" width="11" style="1"/>
    <col min="9729" max="9729" width="2.6640625" style="1" customWidth="1"/>
    <col min="9730" max="9730" width="15.5546875" style="1" customWidth="1"/>
    <col min="9731" max="9731" width="6.33203125" style="1" customWidth="1"/>
    <col min="9732" max="9732" width="2.33203125" style="1" bestFit="1" customWidth="1"/>
    <col min="9733" max="9733" width="6.33203125" style="1" customWidth="1"/>
    <col min="9734" max="9734" width="1.5546875" style="1" bestFit="1" customWidth="1"/>
    <col min="9735" max="9735" width="6.33203125" style="1" customWidth="1"/>
    <col min="9736" max="9736" width="1.5546875" style="1" bestFit="1" customWidth="1"/>
    <col min="9737" max="9737" width="6.33203125" style="1" customWidth="1"/>
    <col min="9738" max="9738" width="2" style="1" bestFit="1" customWidth="1"/>
    <col min="9739" max="9739" width="6.33203125" style="1" customWidth="1"/>
    <col min="9740" max="9740" width="1.44140625" style="1" customWidth="1"/>
    <col min="9741" max="9741" width="6.33203125" style="1" customWidth="1"/>
    <col min="9742" max="9742" width="1.5546875" style="1" bestFit="1" customWidth="1"/>
    <col min="9743" max="9743" width="6.33203125" style="1" customWidth="1"/>
    <col min="9744" max="9744" width="1.44140625" style="1" bestFit="1" customWidth="1"/>
    <col min="9745" max="9745" width="6.33203125" style="1" customWidth="1"/>
    <col min="9746" max="9746" width="1.44140625" style="1" bestFit="1" customWidth="1"/>
    <col min="9747" max="9750" width="6.33203125" style="1" customWidth="1"/>
    <col min="9751" max="9751" width="9.88671875" style="1" customWidth="1"/>
    <col min="9752" max="9984" width="11" style="1"/>
    <col min="9985" max="9985" width="2.6640625" style="1" customWidth="1"/>
    <col min="9986" max="9986" width="15.5546875" style="1" customWidth="1"/>
    <col min="9987" max="9987" width="6.33203125" style="1" customWidth="1"/>
    <col min="9988" max="9988" width="2.33203125" style="1" bestFit="1" customWidth="1"/>
    <col min="9989" max="9989" width="6.33203125" style="1" customWidth="1"/>
    <col min="9990" max="9990" width="1.5546875" style="1" bestFit="1" customWidth="1"/>
    <col min="9991" max="9991" width="6.33203125" style="1" customWidth="1"/>
    <col min="9992" max="9992" width="1.5546875" style="1" bestFit="1" customWidth="1"/>
    <col min="9993" max="9993" width="6.33203125" style="1" customWidth="1"/>
    <col min="9994" max="9994" width="2" style="1" bestFit="1" customWidth="1"/>
    <col min="9995" max="9995" width="6.33203125" style="1" customWidth="1"/>
    <col min="9996" max="9996" width="1.44140625" style="1" customWidth="1"/>
    <col min="9997" max="9997" width="6.33203125" style="1" customWidth="1"/>
    <col min="9998" max="9998" width="1.5546875" style="1" bestFit="1" customWidth="1"/>
    <col min="9999" max="9999" width="6.33203125" style="1" customWidth="1"/>
    <col min="10000" max="10000" width="1.44140625" style="1" bestFit="1" customWidth="1"/>
    <col min="10001" max="10001" width="6.33203125" style="1" customWidth="1"/>
    <col min="10002" max="10002" width="1.44140625" style="1" bestFit="1" customWidth="1"/>
    <col min="10003" max="10006" width="6.33203125" style="1" customWidth="1"/>
    <col min="10007" max="10007" width="9.88671875" style="1" customWidth="1"/>
    <col min="10008" max="10240" width="11" style="1"/>
    <col min="10241" max="10241" width="2.6640625" style="1" customWidth="1"/>
    <col min="10242" max="10242" width="15.5546875" style="1" customWidth="1"/>
    <col min="10243" max="10243" width="6.33203125" style="1" customWidth="1"/>
    <col min="10244" max="10244" width="2.33203125" style="1" bestFit="1" customWidth="1"/>
    <col min="10245" max="10245" width="6.33203125" style="1" customWidth="1"/>
    <col min="10246" max="10246" width="1.5546875" style="1" bestFit="1" customWidth="1"/>
    <col min="10247" max="10247" width="6.33203125" style="1" customWidth="1"/>
    <col min="10248" max="10248" width="1.5546875" style="1" bestFit="1" customWidth="1"/>
    <col min="10249" max="10249" width="6.33203125" style="1" customWidth="1"/>
    <col min="10250" max="10250" width="2" style="1" bestFit="1" customWidth="1"/>
    <col min="10251" max="10251" width="6.33203125" style="1" customWidth="1"/>
    <col min="10252" max="10252" width="1.44140625" style="1" customWidth="1"/>
    <col min="10253" max="10253" width="6.33203125" style="1" customWidth="1"/>
    <col min="10254" max="10254" width="1.5546875" style="1" bestFit="1" customWidth="1"/>
    <col min="10255" max="10255" width="6.33203125" style="1" customWidth="1"/>
    <col min="10256" max="10256" width="1.44140625" style="1" bestFit="1" customWidth="1"/>
    <col min="10257" max="10257" width="6.33203125" style="1" customWidth="1"/>
    <col min="10258" max="10258" width="1.44140625" style="1" bestFit="1" customWidth="1"/>
    <col min="10259" max="10262" width="6.33203125" style="1" customWidth="1"/>
    <col min="10263" max="10263" width="9.88671875" style="1" customWidth="1"/>
    <col min="10264" max="10496" width="11" style="1"/>
    <col min="10497" max="10497" width="2.6640625" style="1" customWidth="1"/>
    <col min="10498" max="10498" width="15.5546875" style="1" customWidth="1"/>
    <col min="10499" max="10499" width="6.33203125" style="1" customWidth="1"/>
    <col min="10500" max="10500" width="2.33203125" style="1" bestFit="1" customWidth="1"/>
    <col min="10501" max="10501" width="6.33203125" style="1" customWidth="1"/>
    <col min="10502" max="10502" width="1.5546875" style="1" bestFit="1" customWidth="1"/>
    <col min="10503" max="10503" width="6.33203125" style="1" customWidth="1"/>
    <col min="10504" max="10504" width="1.5546875" style="1" bestFit="1" customWidth="1"/>
    <col min="10505" max="10505" width="6.33203125" style="1" customWidth="1"/>
    <col min="10506" max="10506" width="2" style="1" bestFit="1" customWidth="1"/>
    <col min="10507" max="10507" width="6.33203125" style="1" customWidth="1"/>
    <col min="10508" max="10508" width="1.44140625" style="1" customWidth="1"/>
    <col min="10509" max="10509" width="6.33203125" style="1" customWidth="1"/>
    <col min="10510" max="10510" width="1.5546875" style="1" bestFit="1" customWidth="1"/>
    <col min="10511" max="10511" width="6.33203125" style="1" customWidth="1"/>
    <col min="10512" max="10512" width="1.44140625" style="1" bestFit="1" customWidth="1"/>
    <col min="10513" max="10513" width="6.33203125" style="1" customWidth="1"/>
    <col min="10514" max="10514" width="1.44140625" style="1" bestFit="1" customWidth="1"/>
    <col min="10515" max="10518" width="6.33203125" style="1" customWidth="1"/>
    <col min="10519" max="10519" width="9.88671875" style="1" customWidth="1"/>
    <col min="10520" max="10752" width="11" style="1"/>
    <col min="10753" max="10753" width="2.6640625" style="1" customWidth="1"/>
    <col min="10754" max="10754" width="15.5546875" style="1" customWidth="1"/>
    <col min="10755" max="10755" width="6.33203125" style="1" customWidth="1"/>
    <col min="10756" max="10756" width="2.33203125" style="1" bestFit="1" customWidth="1"/>
    <col min="10757" max="10757" width="6.33203125" style="1" customWidth="1"/>
    <col min="10758" max="10758" width="1.5546875" style="1" bestFit="1" customWidth="1"/>
    <col min="10759" max="10759" width="6.33203125" style="1" customWidth="1"/>
    <col min="10760" max="10760" width="1.5546875" style="1" bestFit="1" customWidth="1"/>
    <col min="10761" max="10761" width="6.33203125" style="1" customWidth="1"/>
    <col min="10762" max="10762" width="2" style="1" bestFit="1" customWidth="1"/>
    <col min="10763" max="10763" width="6.33203125" style="1" customWidth="1"/>
    <col min="10764" max="10764" width="1.44140625" style="1" customWidth="1"/>
    <col min="10765" max="10765" width="6.33203125" style="1" customWidth="1"/>
    <col min="10766" max="10766" width="1.5546875" style="1" bestFit="1" customWidth="1"/>
    <col min="10767" max="10767" width="6.33203125" style="1" customWidth="1"/>
    <col min="10768" max="10768" width="1.44140625" style="1" bestFit="1" customWidth="1"/>
    <col min="10769" max="10769" width="6.33203125" style="1" customWidth="1"/>
    <col min="10770" max="10770" width="1.44140625" style="1" bestFit="1" customWidth="1"/>
    <col min="10771" max="10774" width="6.33203125" style="1" customWidth="1"/>
    <col min="10775" max="10775" width="9.88671875" style="1" customWidth="1"/>
    <col min="10776" max="11008" width="11" style="1"/>
    <col min="11009" max="11009" width="2.6640625" style="1" customWidth="1"/>
    <col min="11010" max="11010" width="15.5546875" style="1" customWidth="1"/>
    <col min="11011" max="11011" width="6.33203125" style="1" customWidth="1"/>
    <col min="11012" max="11012" width="2.33203125" style="1" bestFit="1" customWidth="1"/>
    <col min="11013" max="11013" width="6.33203125" style="1" customWidth="1"/>
    <col min="11014" max="11014" width="1.5546875" style="1" bestFit="1" customWidth="1"/>
    <col min="11015" max="11015" width="6.33203125" style="1" customWidth="1"/>
    <col min="11016" max="11016" width="1.5546875" style="1" bestFit="1" customWidth="1"/>
    <col min="11017" max="11017" width="6.33203125" style="1" customWidth="1"/>
    <col min="11018" max="11018" width="2" style="1" bestFit="1" customWidth="1"/>
    <col min="11019" max="11019" width="6.33203125" style="1" customWidth="1"/>
    <col min="11020" max="11020" width="1.44140625" style="1" customWidth="1"/>
    <col min="11021" max="11021" width="6.33203125" style="1" customWidth="1"/>
    <col min="11022" max="11022" width="1.5546875" style="1" bestFit="1" customWidth="1"/>
    <col min="11023" max="11023" width="6.33203125" style="1" customWidth="1"/>
    <col min="11024" max="11024" width="1.44140625" style="1" bestFit="1" customWidth="1"/>
    <col min="11025" max="11025" width="6.33203125" style="1" customWidth="1"/>
    <col min="11026" max="11026" width="1.44140625" style="1" bestFit="1" customWidth="1"/>
    <col min="11027" max="11030" width="6.33203125" style="1" customWidth="1"/>
    <col min="11031" max="11031" width="9.88671875" style="1" customWidth="1"/>
    <col min="11032" max="11264" width="11" style="1"/>
    <col min="11265" max="11265" width="2.6640625" style="1" customWidth="1"/>
    <col min="11266" max="11266" width="15.5546875" style="1" customWidth="1"/>
    <col min="11267" max="11267" width="6.33203125" style="1" customWidth="1"/>
    <col min="11268" max="11268" width="2.33203125" style="1" bestFit="1" customWidth="1"/>
    <col min="11269" max="11269" width="6.33203125" style="1" customWidth="1"/>
    <col min="11270" max="11270" width="1.5546875" style="1" bestFit="1" customWidth="1"/>
    <col min="11271" max="11271" width="6.33203125" style="1" customWidth="1"/>
    <col min="11272" max="11272" width="1.5546875" style="1" bestFit="1" customWidth="1"/>
    <col min="11273" max="11273" width="6.33203125" style="1" customWidth="1"/>
    <col min="11274" max="11274" width="2" style="1" bestFit="1" customWidth="1"/>
    <col min="11275" max="11275" width="6.33203125" style="1" customWidth="1"/>
    <col min="11276" max="11276" width="1.44140625" style="1" customWidth="1"/>
    <col min="11277" max="11277" width="6.33203125" style="1" customWidth="1"/>
    <col min="11278" max="11278" width="1.5546875" style="1" bestFit="1" customWidth="1"/>
    <col min="11279" max="11279" width="6.33203125" style="1" customWidth="1"/>
    <col min="11280" max="11280" width="1.44140625" style="1" bestFit="1" customWidth="1"/>
    <col min="11281" max="11281" width="6.33203125" style="1" customWidth="1"/>
    <col min="11282" max="11282" width="1.44140625" style="1" bestFit="1" customWidth="1"/>
    <col min="11283" max="11286" width="6.33203125" style="1" customWidth="1"/>
    <col min="11287" max="11287" width="9.88671875" style="1" customWidth="1"/>
    <col min="11288" max="11520" width="11" style="1"/>
    <col min="11521" max="11521" width="2.6640625" style="1" customWidth="1"/>
    <col min="11522" max="11522" width="15.5546875" style="1" customWidth="1"/>
    <col min="11523" max="11523" width="6.33203125" style="1" customWidth="1"/>
    <col min="11524" max="11524" width="2.33203125" style="1" bestFit="1" customWidth="1"/>
    <col min="11525" max="11525" width="6.33203125" style="1" customWidth="1"/>
    <col min="11526" max="11526" width="1.5546875" style="1" bestFit="1" customWidth="1"/>
    <col min="11527" max="11527" width="6.33203125" style="1" customWidth="1"/>
    <col min="11528" max="11528" width="1.5546875" style="1" bestFit="1" customWidth="1"/>
    <col min="11529" max="11529" width="6.33203125" style="1" customWidth="1"/>
    <col min="11530" max="11530" width="2" style="1" bestFit="1" customWidth="1"/>
    <col min="11531" max="11531" width="6.33203125" style="1" customWidth="1"/>
    <col min="11532" max="11532" width="1.44140625" style="1" customWidth="1"/>
    <col min="11533" max="11533" width="6.33203125" style="1" customWidth="1"/>
    <col min="11534" max="11534" width="1.5546875" style="1" bestFit="1" customWidth="1"/>
    <col min="11535" max="11535" width="6.33203125" style="1" customWidth="1"/>
    <col min="11536" max="11536" width="1.44140625" style="1" bestFit="1" customWidth="1"/>
    <col min="11537" max="11537" width="6.33203125" style="1" customWidth="1"/>
    <col min="11538" max="11538" width="1.44140625" style="1" bestFit="1" customWidth="1"/>
    <col min="11539" max="11542" width="6.33203125" style="1" customWidth="1"/>
    <col min="11543" max="11543" width="9.88671875" style="1" customWidth="1"/>
    <col min="11544" max="11776" width="11" style="1"/>
    <col min="11777" max="11777" width="2.6640625" style="1" customWidth="1"/>
    <col min="11778" max="11778" width="15.5546875" style="1" customWidth="1"/>
    <col min="11779" max="11779" width="6.33203125" style="1" customWidth="1"/>
    <col min="11780" max="11780" width="2.33203125" style="1" bestFit="1" customWidth="1"/>
    <col min="11781" max="11781" width="6.33203125" style="1" customWidth="1"/>
    <col min="11782" max="11782" width="1.5546875" style="1" bestFit="1" customWidth="1"/>
    <col min="11783" max="11783" width="6.33203125" style="1" customWidth="1"/>
    <col min="11784" max="11784" width="1.5546875" style="1" bestFit="1" customWidth="1"/>
    <col min="11785" max="11785" width="6.33203125" style="1" customWidth="1"/>
    <col min="11786" max="11786" width="2" style="1" bestFit="1" customWidth="1"/>
    <col min="11787" max="11787" width="6.33203125" style="1" customWidth="1"/>
    <col min="11788" max="11788" width="1.44140625" style="1" customWidth="1"/>
    <col min="11789" max="11789" width="6.33203125" style="1" customWidth="1"/>
    <col min="11790" max="11790" width="1.5546875" style="1" bestFit="1" customWidth="1"/>
    <col min="11791" max="11791" width="6.33203125" style="1" customWidth="1"/>
    <col min="11792" max="11792" width="1.44140625" style="1" bestFit="1" customWidth="1"/>
    <col min="11793" max="11793" width="6.33203125" style="1" customWidth="1"/>
    <col min="11794" max="11794" width="1.44140625" style="1" bestFit="1" customWidth="1"/>
    <col min="11795" max="11798" width="6.33203125" style="1" customWidth="1"/>
    <col min="11799" max="11799" width="9.88671875" style="1" customWidth="1"/>
    <col min="11800" max="12032" width="11" style="1"/>
    <col min="12033" max="12033" width="2.6640625" style="1" customWidth="1"/>
    <col min="12034" max="12034" width="15.5546875" style="1" customWidth="1"/>
    <col min="12035" max="12035" width="6.33203125" style="1" customWidth="1"/>
    <col min="12036" max="12036" width="2.33203125" style="1" bestFit="1" customWidth="1"/>
    <col min="12037" max="12037" width="6.33203125" style="1" customWidth="1"/>
    <col min="12038" max="12038" width="1.5546875" style="1" bestFit="1" customWidth="1"/>
    <col min="12039" max="12039" width="6.33203125" style="1" customWidth="1"/>
    <col min="12040" max="12040" width="1.5546875" style="1" bestFit="1" customWidth="1"/>
    <col min="12041" max="12041" width="6.33203125" style="1" customWidth="1"/>
    <col min="12042" max="12042" width="2" style="1" bestFit="1" customWidth="1"/>
    <col min="12043" max="12043" width="6.33203125" style="1" customWidth="1"/>
    <col min="12044" max="12044" width="1.44140625" style="1" customWidth="1"/>
    <col min="12045" max="12045" width="6.33203125" style="1" customWidth="1"/>
    <col min="12046" max="12046" width="1.5546875" style="1" bestFit="1" customWidth="1"/>
    <col min="12047" max="12047" width="6.33203125" style="1" customWidth="1"/>
    <col min="12048" max="12048" width="1.44140625" style="1" bestFit="1" customWidth="1"/>
    <col min="12049" max="12049" width="6.33203125" style="1" customWidth="1"/>
    <col min="12050" max="12050" width="1.44140625" style="1" bestFit="1" customWidth="1"/>
    <col min="12051" max="12054" width="6.33203125" style="1" customWidth="1"/>
    <col min="12055" max="12055" width="9.88671875" style="1" customWidth="1"/>
    <col min="12056" max="12288" width="11" style="1"/>
    <col min="12289" max="12289" width="2.6640625" style="1" customWidth="1"/>
    <col min="12290" max="12290" width="15.5546875" style="1" customWidth="1"/>
    <col min="12291" max="12291" width="6.33203125" style="1" customWidth="1"/>
    <col min="12292" max="12292" width="2.33203125" style="1" bestFit="1" customWidth="1"/>
    <col min="12293" max="12293" width="6.33203125" style="1" customWidth="1"/>
    <col min="12294" max="12294" width="1.5546875" style="1" bestFit="1" customWidth="1"/>
    <col min="12295" max="12295" width="6.33203125" style="1" customWidth="1"/>
    <col min="12296" max="12296" width="1.5546875" style="1" bestFit="1" customWidth="1"/>
    <col min="12297" max="12297" width="6.33203125" style="1" customWidth="1"/>
    <col min="12298" max="12298" width="2" style="1" bestFit="1" customWidth="1"/>
    <col min="12299" max="12299" width="6.33203125" style="1" customWidth="1"/>
    <col min="12300" max="12300" width="1.44140625" style="1" customWidth="1"/>
    <col min="12301" max="12301" width="6.33203125" style="1" customWidth="1"/>
    <col min="12302" max="12302" width="1.5546875" style="1" bestFit="1" customWidth="1"/>
    <col min="12303" max="12303" width="6.33203125" style="1" customWidth="1"/>
    <col min="12304" max="12304" width="1.44140625" style="1" bestFit="1" customWidth="1"/>
    <col min="12305" max="12305" width="6.33203125" style="1" customWidth="1"/>
    <col min="12306" max="12306" width="1.44140625" style="1" bestFit="1" customWidth="1"/>
    <col min="12307" max="12310" width="6.33203125" style="1" customWidth="1"/>
    <col min="12311" max="12311" width="9.88671875" style="1" customWidth="1"/>
    <col min="12312" max="12544" width="11" style="1"/>
    <col min="12545" max="12545" width="2.6640625" style="1" customWidth="1"/>
    <col min="12546" max="12546" width="15.5546875" style="1" customWidth="1"/>
    <col min="12547" max="12547" width="6.33203125" style="1" customWidth="1"/>
    <col min="12548" max="12548" width="2.33203125" style="1" bestFit="1" customWidth="1"/>
    <col min="12549" max="12549" width="6.33203125" style="1" customWidth="1"/>
    <col min="12550" max="12550" width="1.5546875" style="1" bestFit="1" customWidth="1"/>
    <col min="12551" max="12551" width="6.33203125" style="1" customWidth="1"/>
    <col min="12552" max="12552" width="1.5546875" style="1" bestFit="1" customWidth="1"/>
    <col min="12553" max="12553" width="6.33203125" style="1" customWidth="1"/>
    <col min="12554" max="12554" width="2" style="1" bestFit="1" customWidth="1"/>
    <col min="12555" max="12555" width="6.33203125" style="1" customWidth="1"/>
    <col min="12556" max="12556" width="1.44140625" style="1" customWidth="1"/>
    <col min="12557" max="12557" width="6.33203125" style="1" customWidth="1"/>
    <col min="12558" max="12558" width="1.5546875" style="1" bestFit="1" customWidth="1"/>
    <col min="12559" max="12559" width="6.33203125" style="1" customWidth="1"/>
    <col min="12560" max="12560" width="1.44140625" style="1" bestFit="1" customWidth="1"/>
    <col min="12561" max="12561" width="6.33203125" style="1" customWidth="1"/>
    <col min="12562" max="12562" width="1.44140625" style="1" bestFit="1" customWidth="1"/>
    <col min="12563" max="12566" width="6.33203125" style="1" customWidth="1"/>
    <col min="12567" max="12567" width="9.88671875" style="1" customWidth="1"/>
    <col min="12568" max="12800" width="11" style="1"/>
    <col min="12801" max="12801" width="2.6640625" style="1" customWidth="1"/>
    <col min="12802" max="12802" width="15.5546875" style="1" customWidth="1"/>
    <col min="12803" max="12803" width="6.33203125" style="1" customWidth="1"/>
    <col min="12804" max="12804" width="2.33203125" style="1" bestFit="1" customWidth="1"/>
    <col min="12805" max="12805" width="6.33203125" style="1" customWidth="1"/>
    <col min="12806" max="12806" width="1.5546875" style="1" bestFit="1" customWidth="1"/>
    <col min="12807" max="12807" width="6.33203125" style="1" customWidth="1"/>
    <col min="12808" max="12808" width="1.5546875" style="1" bestFit="1" customWidth="1"/>
    <col min="12809" max="12809" width="6.33203125" style="1" customWidth="1"/>
    <col min="12810" max="12810" width="2" style="1" bestFit="1" customWidth="1"/>
    <col min="12811" max="12811" width="6.33203125" style="1" customWidth="1"/>
    <col min="12812" max="12812" width="1.44140625" style="1" customWidth="1"/>
    <col min="12813" max="12813" width="6.33203125" style="1" customWidth="1"/>
    <col min="12814" max="12814" width="1.5546875" style="1" bestFit="1" customWidth="1"/>
    <col min="12815" max="12815" width="6.33203125" style="1" customWidth="1"/>
    <col min="12816" max="12816" width="1.44140625" style="1" bestFit="1" customWidth="1"/>
    <col min="12817" max="12817" width="6.33203125" style="1" customWidth="1"/>
    <col min="12818" max="12818" width="1.44140625" style="1" bestFit="1" customWidth="1"/>
    <col min="12819" max="12822" width="6.33203125" style="1" customWidth="1"/>
    <col min="12823" max="12823" width="9.88671875" style="1" customWidth="1"/>
    <col min="12824" max="13056" width="11" style="1"/>
    <col min="13057" max="13057" width="2.6640625" style="1" customWidth="1"/>
    <col min="13058" max="13058" width="15.5546875" style="1" customWidth="1"/>
    <col min="13059" max="13059" width="6.33203125" style="1" customWidth="1"/>
    <col min="13060" max="13060" width="2.33203125" style="1" bestFit="1" customWidth="1"/>
    <col min="13061" max="13061" width="6.33203125" style="1" customWidth="1"/>
    <col min="13062" max="13062" width="1.5546875" style="1" bestFit="1" customWidth="1"/>
    <col min="13063" max="13063" width="6.33203125" style="1" customWidth="1"/>
    <col min="13064" max="13064" width="1.5546875" style="1" bestFit="1" customWidth="1"/>
    <col min="13065" max="13065" width="6.33203125" style="1" customWidth="1"/>
    <col min="13066" max="13066" width="2" style="1" bestFit="1" customWidth="1"/>
    <col min="13067" max="13067" width="6.33203125" style="1" customWidth="1"/>
    <col min="13068" max="13068" width="1.44140625" style="1" customWidth="1"/>
    <col min="13069" max="13069" width="6.33203125" style="1" customWidth="1"/>
    <col min="13070" max="13070" width="1.5546875" style="1" bestFit="1" customWidth="1"/>
    <col min="13071" max="13071" width="6.33203125" style="1" customWidth="1"/>
    <col min="13072" max="13072" width="1.44140625" style="1" bestFit="1" customWidth="1"/>
    <col min="13073" max="13073" width="6.33203125" style="1" customWidth="1"/>
    <col min="13074" max="13074" width="1.44140625" style="1" bestFit="1" customWidth="1"/>
    <col min="13075" max="13078" width="6.33203125" style="1" customWidth="1"/>
    <col min="13079" max="13079" width="9.88671875" style="1" customWidth="1"/>
    <col min="13080" max="13312" width="11" style="1"/>
    <col min="13313" max="13313" width="2.6640625" style="1" customWidth="1"/>
    <col min="13314" max="13314" width="15.5546875" style="1" customWidth="1"/>
    <col min="13315" max="13315" width="6.33203125" style="1" customWidth="1"/>
    <col min="13316" max="13316" width="2.33203125" style="1" bestFit="1" customWidth="1"/>
    <col min="13317" max="13317" width="6.33203125" style="1" customWidth="1"/>
    <col min="13318" max="13318" width="1.5546875" style="1" bestFit="1" customWidth="1"/>
    <col min="13319" max="13319" width="6.33203125" style="1" customWidth="1"/>
    <col min="13320" max="13320" width="1.5546875" style="1" bestFit="1" customWidth="1"/>
    <col min="13321" max="13321" width="6.33203125" style="1" customWidth="1"/>
    <col min="13322" max="13322" width="2" style="1" bestFit="1" customWidth="1"/>
    <col min="13323" max="13323" width="6.33203125" style="1" customWidth="1"/>
    <col min="13324" max="13324" width="1.44140625" style="1" customWidth="1"/>
    <col min="13325" max="13325" width="6.33203125" style="1" customWidth="1"/>
    <col min="13326" max="13326" width="1.5546875" style="1" bestFit="1" customWidth="1"/>
    <col min="13327" max="13327" width="6.33203125" style="1" customWidth="1"/>
    <col min="13328" max="13328" width="1.44140625" style="1" bestFit="1" customWidth="1"/>
    <col min="13329" max="13329" width="6.33203125" style="1" customWidth="1"/>
    <col min="13330" max="13330" width="1.44140625" style="1" bestFit="1" customWidth="1"/>
    <col min="13331" max="13334" width="6.33203125" style="1" customWidth="1"/>
    <col min="13335" max="13335" width="9.88671875" style="1" customWidth="1"/>
    <col min="13336" max="13568" width="11" style="1"/>
    <col min="13569" max="13569" width="2.6640625" style="1" customWidth="1"/>
    <col min="13570" max="13570" width="15.5546875" style="1" customWidth="1"/>
    <col min="13571" max="13571" width="6.33203125" style="1" customWidth="1"/>
    <col min="13572" max="13572" width="2.33203125" style="1" bestFit="1" customWidth="1"/>
    <col min="13573" max="13573" width="6.33203125" style="1" customWidth="1"/>
    <col min="13574" max="13574" width="1.5546875" style="1" bestFit="1" customWidth="1"/>
    <col min="13575" max="13575" width="6.33203125" style="1" customWidth="1"/>
    <col min="13576" max="13576" width="1.5546875" style="1" bestFit="1" customWidth="1"/>
    <col min="13577" max="13577" width="6.33203125" style="1" customWidth="1"/>
    <col min="13578" max="13578" width="2" style="1" bestFit="1" customWidth="1"/>
    <col min="13579" max="13579" width="6.33203125" style="1" customWidth="1"/>
    <col min="13580" max="13580" width="1.44140625" style="1" customWidth="1"/>
    <col min="13581" max="13581" width="6.33203125" style="1" customWidth="1"/>
    <col min="13582" max="13582" width="1.5546875" style="1" bestFit="1" customWidth="1"/>
    <col min="13583" max="13583" width="6.33203125" style="1" customWidth="1"/>
    <col min="13584" max="13584" width="1.44140625" style="1" bestFit="1" customWidth="1"/>
    <col min="13585" max="13585" width="6.33203125" style="1" customWidth="1"/>
    <col min="13586" max="13586" width="1.44140625" style="1" bestFit="1" customWidth="1"/>
    <col min="13587" max="13590" width="6.33203125" style="1" customWidth="1"/>
    <col min="13591" max="13591" width="9.88671875" style="1" customWidth="1"/>
    <col min="13592" max="13824" width="11" style="1"/>
    <col min="13825" max="13825" width="2.6640625" style="1" customWidth="1"/>
    <col min="13826" max="13826" width="15.5546875" style="1" customWidth="1"/>
    <col min="13827" max="13827" width="6.33203125" style="1" customWidth="1"/>
    <col min="13828" max="13828" width="2.33203125" style="1" bestFit="1" customWidth="1"/>
    <col min="13829" max="13829" width="6.33203125" style="1" customWidth="1"/>
    <col min="13830" max="13830" width="1.5546875" style="1" bestFit="1" customWidth="1"/>
    <col min="13831" max="13831" width="6.33203125" style="1" customWidth="1"/>
    <col min="13832" max="13832" width="1.5546875" style="1" bestFit="1" customWidth="1"/>
    <col min="13833" max="13833" width="6.33203125" style="1" customWidth="1"/>
    <col min="13834" max="13834" width="2" style="1" bestFit="1" customWidth="1"/>
    <col min="13835" max="13835" width="6.33203125" style="1" customWidth="1"/>
    <col min="13836" max="13836" width="1.44140625" style="1" customWidth="1"/>
    <col min="13837" max="13837" width="6.33203125" style="1" customWidth="1"/>
    <col min="13838" max="13838" width="1.5546875" style="1" bestFit="1" customWidth="1"/>
    <col min="13839" max="13839" width="6.33203125" style="1" customWidth="1"/>
    <col min="13840" max="13840" width="1.44140625" style="1" bestFit="1" customWidth="1"/>
    <col min="13841" max="13841" width="6.33203125" style="1" customWidth="1"/>
    <col min="13842" max="13842" width="1.44140625" style="1" bestFit="1" customWidth="1"/>
    <col min="13843" max="13846" width="6.33203125" style="1" customWidth="1"/>
    <col min="13847" max="13847" width="9.88671875" style="1" customWidth="1"/>
    <col min="13848" max="14080" width="11" style="1"/>
    <col min="14081" max="14081" width="2.6640625" style="1" customWidth="1"/>
    <col min="14082" max="14082" width="15.5546875" style="1" customWidth="1"/>
    <col min="14083" max="14083" width="6.33203125" style="1" customWidth="1"/>
    <col min="14084" max="14084" width="2.33203125" style="1" bestFit="1" customWidth="1"/>
    <col min="14085" max="14085" width="6.33203125" style="1" customWidth="1"/>
    <col min="14086" max="14086" width="1.5546875" style="1" bestFit="1" customWidth="1"/>
    <col min="14087" max="14087" width="6.33203125" style="1" customWidth="1"/>
    <col min="14088" max="14088" width="1.5546875" style="1" bestFit="1" customWidth="1"/>
    <col min="14089" max="14089" width="6.33203125" style="1" customWidth="1"/>
    <col min="14090" max="14090" width="2" style="1" bestFit="1" customWidth="1"/>
    <col min="14091" max="14091" width="6.33203125" style="1" customWidth="1"/>
    <col min="14092" max="14092" width="1.44140625" style="1" customWidth="1"/>
    <col min="14093" max="14093" width="6.33203125" style="1" customWidth="1"/>
    <col min="14094" max="14094" width="1.5546875" style="1" bestFit="1" customWidth="1"/>
    <col min="14095" max="14095" width="6.33203125" style="1" customWidth="1"/>
    <col min="14096" max="14096" width="1.44140625" style="1" bestFit="1" customWidth="1"/>
    <col min="14097" max="14097" width="6.33203125" style="1" customWidth="1"/>
    <col min="14098" max="14098" width="1.44140625" style="1" bestFit="1" customWidth="1"/>
    <col min="14099" max="14102" width="6.33203125" style="1" customWidth="1"/>
    <col min="14103" max="14103" width="9.88671875" style="1" customWidth="1"/>
    <col min="14104" max="14336" width="11" style="1"/>
    <col min="14337" max="14337" width="2.6640625" style="1" customWidth="1"/>
    <col min="14338" max="14338" width="15.5546875" style="1" customWidth="1"/>
    <col min="14339" max="14339" width="6.33203125" style="1" customWidth="1"/>
    <col min="14340" max="14340" width="2.33203125" style="1" bestFit="1" customWidth="1"/>
    <col min="14341" max="14341" width="6.33203125" style="1" customWidth="1"/>
    <col min="14342" max="14342" width="1.5546875" style="1" bestFit="1" customWidth="1"/>
    <col min="14343" max="14343" width="6.33203125" style="1" customWidth="1"/>
    <col min="14344" max="14344" width="1.5546875" style="1" bestFit="1" customWidth="1"/>
    <col min="14345" max="14345" width="6.33203125" style="1" customWidth="1"/>
    <col min="14346" max="14346" width="2" style="1" bestFit="1" customWidth="1"/>
    <col min="14347" max="14347" width="6.33203125" style="1" customWidth="1"/>
    <col min="14348" max="14348" width="1.44140625" style="1" customWidth="1"/>
    <col min="14349" max="14349" width="6.33203125" style="1" customWidth="1"/>
    <col min="14350" max="14350" width="1.5546875" style="1" bestFit="1" customWidth="1"/>
    <col min="14351" max="14351" width="6.33203125" style="1" customWidth="1"/>
    <col min="14352" max="14352" width="1.44140625" style="1" bestFit="1" customWidth="1"/>
    <col min="14353" max="14353" width="6.33203125" style="1" customWidth="1"/>
    <col min="14354" max="14354" width="1.44140625" style="1" bestFit="1" customWidth="1"/>
    <col min="14355" max="14358" width="6.33203125" style="1" customWidth="1"/>
    <col min="14359" max="14359" width="9.88671875" style="1" customWidth="1"/>
    <col min="14360" max="14592" width="11" style="1"/>
    <col min="14593" max="14593" width="2.6640625" style="1" customWidth="1"/>
    <col min="14594" max="14594" width="15.5546875" style="1" customWidth="1"/>
    <col min="14595" max="14595" width="6.33203125" style="1" customWidth="1"/>
    <col min="14596" max="14596" width="2.33203125" style="1" bestFit="1" customWidth="1"/>
    <col min="14597" max="14597" width="6.33203125" style="1" customWidth="1"/>
    <col min="14598" max="14598" width="1.5546875" style="1" bestFit="1" customWidth="1"/>
    <col min="14599" max="14599" width="6.33203125" style="1" customWidth="1"/>
    <col min="14600" max="14600" width="1.5546875" style="1" bestFit="1" customWidth="1"/>
    <col min="14601" max="14601" width="6.33203125" style="1" customWidth="1"/>
    <col min="14602" max="14602" width="2" style="1" bestFit="1" customWidth="1"/>
    <col min="14603" max="14603" width="6.33203125" style="1" customWidth="1"/>
    <col min="14604" max="14604" width="1.44140625" style="1" customWidth="1"/>
    <col min="14605" max="14605" width="6.33203125" style="1" customWidth="1"/>
    <col min="14606" max="14606" width="1.5546875" style="1" bestFit="1" customWidth="1"/>
    <col min="14607" max="14607" width="6.33203125" style="1" customWidth="1"/>
    <col min="14608" max="14608" width="1.44140625" style="1" bestFit="1" customWidth="1"/>
    <col min="14609" max="14609" width="6.33203125" style="1" customWidth="1"/>
    <col min="14610" max="14610" width="1.44140625" style="1" bestFit="1" customWidth="1"/>
    <col min="14611" max="14614" width="6.33203125" style="1" customWidth="1"/>
    <col min="14615" max="14615" width="9.88671875" style="1" customWidth="1"/>
    <col min="14616" max="14848" width="11" style="1"/>
    <col min="14849" max="14849" width="2.6640625" style="1" customWidth="1"/>
    <col min="14850" max="14850" width="15.5546875" style="1" customWidth="1"/>
    <col min="14851" max="14851" width="6.33203125" style="1" customWidth="1"/>
    <col min="14852" max="14852" width="2.33203125" style="1" bestFit="1" customWidth="1"/>
    <col min="14853" max="14853" width="6.33203125" style="1" customWidth="1"/>
    <col min="14854" max="14854" width="1.5546875" style="1" bestFit="1" customWidth="1"/>
    <col min="14855" max="14855" width="6.33203125" style="1" customWidth="1"/>
    <col min="14856" max="14856" width="1.5546875" style="1" bestFit="1" customWidth="1"/>
    <col min="14857" max="14857" width="6.33203125" style="1" customWidth="1"/>
    <col min="14858" max="14858" width="2" style="1" bestFit="1" customWidth="1"/>
    <col min="14859" max="14859" width="6.33203125" style="1" customWidth="1"/>
    <col min="14860" max="14860" width="1.44140625" style="1" customWidth="1"/>
    <col min="14861" max="14861" width="6.33203125" style="1" customWidth="1"/>
    <col min="14862" max="14862" width="1.5546875" style="1" bestFit="1" customWidth="1"/>
    <col min="14863" max="14863" width="6.33203125" style="1" customWidth="1"/>
    <col min="14864" max="14864" width="1.44140625" style="1" bestFit="1" customWidth="1"/>
    <col min="14865" max="14865" width="6.33203125" style="1" customWidth="1"/>
    <col min="14866" max="14866" width="1.44140625" style="1" bestFit="1" customWidth="1"/>
    <col min="14867" max="14870" width="6.33203125" style="1" customWidth="1"/>
    <col min="14871" max="14871" width="9.88671875" style="1" customWidth="1"/>
    <col min="14872" max="15104" width="11" style="1"/>
    <col min="15105" max="15105" width="2.6640625" style="1" customWidth="1"/>
    <col min="15106" max="15106" width="15.5546875" style="1" customWidth="1"/>
    <col min="15107" max="15107" width="6.33203125" style="1" customWidth="1"/>
    <col min="15108" max="15108" width="2.33203125" style="1" bestFit="1" customWidth="1"/>
    <col min="15109" max="15109" width="6.33203125" style="1" customWidth="1"/>
    <col min="15110" max="15110" width="1.5546875" style="1" bestFit="1" customWidth="1"/>
    <col min="15111" max="15111" width="6.33203125" style="1" customWidth="1"/>
    <col min="15112" max="15112" width="1.5546875" style="1" bestFit="1" customWidth="1"/>
    <col min="15113" max="15113" width="6.33203125" style="1" customWidth="1"/>
    <col min="15114" max="15114" width="2" style="1" bestFit="1" customWidth="1"/>
    <col min="15115" max="15115" width="6.33203125" style="1" customWidth="1"/>
    <col min="15116" max="15116" width="1.44140625" style="1" customWidth="1"/>
    <col min="15117" max="15117" width="6.33203125" style="1" customWidth="1"/>
    <col min="15118" max="15118" width="1.5546875" style="1" bestFit="1" customWidth="1"/>
    <col min="15119" max="15119" width="6.33203125" style="1" customWidth="1"/>
    <col min="15120" max="15120" width="1.44140625" style="1" bestFit="1" customWidth="1"/>
    <col min="15121" max="15121" width="6.33203125" style="1" customWidth="1"/>
    <col min="15122" max="15122" width="1.44140625" style="1" bestFit="1" customWidth="1"/>
    <col min="15123" max="15126" width="6.33203125" style="1" customWidth="1"/>
    <col min="15127" max="15127" width="9.88671875" style="1" customWidth="1"/>
    <col min="15128" max="15360" width="11" style="1"/>
    <col min="15361" max="15361" width="2.6640625" style="1" customWidth="1"/>
    <col min="15362" max="15362" width="15.5546875" style="1" customWidth="1"/>
    <col min="15363" max="15363" width="6.33203125" style="1" customWidth="1"/>
    <col min="15364" max="15364" width="2.33203125" style="1" bestFit="1" customWidth="1"/>
    <col min="15365" max="15365" width="6.33203125" style="1" customWidth="1"/>
    <col min="15366" max="15366" width="1.5546875" style="1" bestFit="1" customWidth="1"/>
    <col min="15367" max="15367" width="6.33203125" style="1" customWidth="1"/>
    <col min="15368" max="15368" width="1.5546875" style="1" bestFit="1" customWidth="1"/>
    <col min="15369" max="15369" width="6.33203125" style="1" customWidth="1"/>
    <col min="15370" max="15370" width="2" style="1" bestFit="1" customWidth="1"/>
    <col min="15371" max="15371" width="6.33203125" style="1" customWidth="1"/>
    <col min="15372" max="15372" width="1.44140625" style="1" customWidth="1"/>
    <col min="15373" max="15373" width="6.33203125" style="1" customWidth="1"/>
    <col min="15374" max="15374" width="1.5546875" style="1" bestFit="1" customWidth="1"/>
    <col min="15375" max="15375" width="6.33203125" style="1" customWidth="1"/>
    <col min="15376" max="15376" width="1.44140625" style="1" bestFit="1" customWidth="1"/>
    <col min="15377" max="15377" width="6.33203125" style="1" customWidth="1"/>
    <col min="15378" max="15378" width="1.44140625" style="1" bestFit="1" customWidth="1"/>
    <col min="15379" max="15382" width="6.33203125" style="1" customWidth="1"/>
    <col min="15383" max="15383" width="9.88671875" style="1" customWidth="1"/>
    <col min="15384" max="15616" width="11" style="1"/>
    <col min="15617" max="15617" width="2.6640625" style="1" customWidth="1"/>
    <col min="15618" max="15618" width="15.5546875" style="1" customWidth="1"/>
    <col min="15619" max="15619" width="6.33203125" style="1" customWidth="1"/>
    <col min="15620" max="15620" width="2.33203125" style="1" bestFit="1" customWidth="1"/>
    <col min="15621" max="15621" width="6.33203125" style="1" customWidth="1"/>
    <col min="15622" max="15622" width="1.5546875" style="1" bestFit="1" customWidth="1"/>
    <col min="15623" max="15623" width="6.33203125" style="1" customWidth="1"/>
    <col min="15624" max="15624" width="1.5546875" style="1" bestFit="1" customWidth="1"/>
    <col min="15625" max="15625" width="6.33203125" style="1" customWidth="1"/>
    <col min="15626" max="15626" width="2" style="1" bestFit="1" customWidth="1"/>
    <col min="15627" max="15627" width="6.33203125" style="1" customWidth="1"/>
    <col min="15628" max="15628" width="1.44140625" style="1" customWidth="1"/>
    <col min="15629" max="15629" width="6.33203125" style="1" customWidth="1"/>
    <col min="15630" max="15630" width="1.5546875" style="1" bestFit="1" customWidth="1"/>
    <col min="15631" max="15631" width="6.33203125" style="1" customWidth="1"/>
    <col min="15632" max="15632" width="1.44140625" style="1" bestFit="1" customWidth="1"/>
    <col min="15633" max="15633" width="6.33203125" style="1" customWidth="1"/>
    <col min="15634" max="15634" width="1.44140625" style="1" bestFit="1" customWidth="1"/>
    <col min="15635" max="15638" width="6.33203125" style="1" customWidth="1"/>
    <col min="15639" max="15639" width="9.88671875" style="1" customWidth="1"/>
    <col min="15640" max="15872" width="11" style="1"/>
    <col min="15873" max="15873" width="2.6640625" style="1" customWidth="1"/>
    <col min="15874" max="15874" width="15.5546875" style="1" customWidth="1"/>
    <col min="15875" max="15875" width="6.33203125" style="1" customWidth="1"/>
    <col min="15876" max="15876" width="2.33203125" style="1" bestFit="1" customWidth="1"/>
    <col min="15877" max="15877" width="6.33203125" style="1" customWidth="1"/>
    <col min="15878" max="15878" width="1.5546875" style="1" bestFit="1" customWidth="1"/>
    <col min="15879" max="15879" width="6.33203125" style="1" customWidth="1"/>
    <col min="15880" max="15880" width="1.5546875" style="1" bestFit="1" customWidth="1"/>
    <col min="15881" max="15881" width="6.33203125" style="1" customWidth="1"/>
    <col min="15882" max="15882" width="2" style="1" bestFit="1" customWidth="1"/>
    <col min="15883" max="15883" width="6.33203125" style="1" customWidth="1"/>
    <col min="15884" max="15884" width="1.44140625" style="1" customWidth="1"/>
    <col min="15885" max="15885" width="6.33203125" style="1" customWidth="1"/>
    <col min="15886" max="15886" width="1.5546875" style="1" bestFit="1" customWidth="1"/>
    <col min="15887" max="15887" width="6.33203125" style="1" customWidth="1"/>
    <col min="15888" max="15888" width="1.44140625" style="1" bestFit="1" customWidth="1"/>
    <col min="15889" max="15889" width="6.33203125" style="1" customWidth="1"/>
    <col min="15890" max="15890" width="1.44140625" style="1" bestFit="1" customWidth="1"/>
    <col min="15891" max="15894" width="6.33203125" style="1" customWidth="1"/>
    <col min="15895" max="15895" width="9.88671875" style="1" customWidth="1"/>
    <col min="15896" max="16128" width="11" style="1"/>
    <col min="16129" max="16129" width="2.6640625" style="1" customWidth="1"/>
    <col min="16130" max="16130" width="15.5546875" style="1" customWidth="1"/>
    <col min="16131" max="16131" width="6.33203125" style="1" customWidth="1"/>
    <col min="16132" max="16132" width="2.33203125" style="1" bestFit="1" customWidth="1"/>
    <col min="16133" max="16133" width="6.33203125" style="1" customWidth="1"/>
    <col min="16134" max="16134" width="1.5546875" style="1" bestFit="1" customWidth="1"/>
    <col min="16135" max="16135" width="6.33203125" style="1" customWidth="1"/>
    <col min="16136" max="16136" width="1.5546875" style="1" bestFit="1" customWidth="1"/>
    <col min="16137" max="16137" width="6.33203125" style="1" customWidth="1"/>
    <col min="16138" max="16138" width="2" style="1" bestFit="1" customWidth="1"/>
    <col min="16139" max="16139" width="6.33203125" style="1" customWidth="1"/>
    <col min="16140" max="16140" width="1.44140625" style="1" customWidth="1"/>
    <col min="16141" max="16141" width="6.33203125" style="1" customWidth="1"/>
    <col min="16142" max="16142" width="1.5546875" style="1" bestFit="1" customWidth="1"/>
    <col min="16143" max="16143" width="6.33203125" style="1" customWidth="1"/>
    <col min="16144" max="16144" width="1.44140625" style="1" bestFit="1" customWidth="1"/>
    <col min="16145" max="16145" width="6.33203125" style="1" customWidth="1"/>
    <col min="16146" max="16146" width="1.44140625" style="1" bestFit="1" customWidth="1"/>
    <col min="16147" max="16150" width="6.33203125" style="1" customWidth="1"/>
    <col min="16151" max="16151" width="9.88671875" style="1" customWidth="1"/>
    <col min="16152" max="16384" width="11" style="1"/>
  </cols>
  <sheetData>
    <row r="1" spans="1:23" ht="15.6" x14ac:dyDescent="0.3">
      <c r="A1" s="405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7"/>
    </row>
    <row r="2" spans="1:23" x14ac:dyDescent="0.15">
      <c r="A2" s="408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10"/>
    </row>
    <row r="3" spans="1:23" ht="12" customHeight="1" thickBot="1" x14ac:dyDescent="0.3">
      <c r="A3" s="411" t="s">
        <v>1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3"/>
    </row>
    <row r="4" spans="1:23" s="2" customFormat="1" ht="8.4" customHeight="1" thickTop="1" x14ac:dyDescent="0.2">
      <c r="A4" s="414" t="s">
        <v>2</v>
      </c>
      <c r="B4" s="416" t="s">
        <v>3</v>
      </c>
      <c r="C4" s="418" t="s">
        <v>4</v>
      </c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9"/>
    </row>
    <row r="5" spans="1:23" s="2" customFormat="1" ht="8.4" customHeight="1" x14ac:dyDescent="0.2">
      <c r="A5" s="415"/>
      <c r="B5" s="417"/>
      <c r="C5" s="3" t="s">
        <v>5</v>
      </c>
      <c r="D5" s="4"/>
      <c r="E5" s="5" t="s">
        <v>6</v>
      </c>
      <c r="F5" s="4"/>
      <c r="G5" s="3" t="s">
        <v>7</v>
      </c>
      <c r="H5" s="4"/>
      <c r="I5" s="5" t="s">
        <v>8</v>
      </c>
      <c r="J5" s="4"/>
      <c r="K5" s="3" t="s">
        <v>9</v>
      </c>
      <c r="L5" s="4"/>
      <c r="M5" s="5" t="s">
        <v>10</v>
      </c>
      <c r="N5" s="4"/>
      <c r="O5" s="3" t="s">
        <v>11</v>
      </c>
      <c r="P5" s="4"/>
      <c r="Q5" s="5" t="s">
        <v>12</v>
      </c>
      <c r="R5" s="4"/>
      <c r="S5" s="6" t="s">
        <v>13</v>
      </c>
      <c r="T5" s="7" t="s">
        <v>14</v>
      </c>
      <c r="U5" s="6" t="s">
        <v>15</v>
      </c>
      <c r="V5" s="8" t="s">
        <v>16</v>
      </c>
    </row>
    <row r="6" spans="1:23" s="2" customFormat="1" ht="8.4" customHeight="1" x14ac:dyDescent="0.2">
      <c r="A6" s="9">
        <v>1</v>
      </c>
      <c r="B6" s="10" t="s">
        <v>17</v>
      </c>
      <c r="C6" s="11">
        <v>8092.5</v>
      </c>
      <c r="D6" s="12"/>
      <c r="E6" s="11">
        <v>8092.5</v>
      </c>
      <c r="F6" s="12"/>
      <c r="G6" s="11">
        <v>8092.5</v>
      </c>
      <c r="H6" s="12"/>
      <c r="I6" s="11">
        <v>8092.5</v>
      </c>
      <c r="J6" s="12"/>
      <c r="K6" s="13">
        <v>8092.5</v>
      </c>
      <c r="L6" s="12"/>
      <c r="M6" s="11">
        <v>8592.5</v>
      </c>
      <c r="N6" s="12"/>
      <c r="O6" s="11">
        <v>8592.5</v>
      </c>
      <c r="P6" s="12"/>
      <c r="Q6" s="11">
        <v>8592.5</v>
      </c>
      <c r="R6" s="12"/>
      <c r="S6" s="14">
        <v>9182.5</v>
      </c>
      <c r="T6" s="14">
        <v>9182.5</v>
      </c>
      <c r="U6" s="14">
        <v>9182.5</v>
      </c>
      <c r="V6" s="15">
        <v>9182.5</v>
      </c>
    </row>
    <row r="7" spans="1:23" s="2" customFormat="1" ht="8.4" customHeight="1" x14ac:dyDescent="0.2">
      <c r="A7" s="16"/>
      <c r="B7" s="17" t="s">
        <v>18</v>
      </c>
      <c r="C7" s="18">
        <v>7209</v>
      </c>
      <c r="D7" s="19"/>
      <c r="E7" s="18">
        <v>7090.9</v>
      </c>
      <c r="F7" s="19"/>
      <c r="G7" s="18">
        <v>7268.4</v>
      </c>
      <c r="H7" s="19"/>
      <c r="I7" s="18">
        <v>7111.1</v>
      </c>
      <c r="J7" s="19"/>
      <c r="K7" s="20">
        <v>7041.4</v>
      </c>
      <c r="L7" s="19"/>
      <c r="M7" s="18">
        <v>7544.5</v>
      </c>
      <c r="N7" s="19"/>
      <c r="O7" s="18">
        <v>7544.5</v>
      </c>
      <c r="P7" s="19"/>
      <c r="Q7" s="18">
        <v>7839.5</v>
      </c>
      <c r="R7" s="19"/>
      <c r="S7" s="21">
        <v>8310.2999999999993</v>
      </c>
      <c r="T7" s="21">
        <v>8210.2999999999993</v>
      </c>
      <c r="U7" s="21">
        <v>8055.3</v>
      </c>
      <c r="V7" s="22">
        <v>8127.5</v>
      </c>
    </row>
    <row r="8" spans="1:23" s="2" customFormat="1" ht="8.4" customHeight="1" x14ac:dyDescent="0.2">
      <c r="A8" s="16"/>
      <c r="B8" s="17" t="s">
        <v>19</v>
      </c>
      <c r="C8" s="18">
        <v>62.3</v>
      </c>
      <c r="D8" s="23" t="s">
        <v>20</v>
      </c>
      <c r="E8" s="18">
        <v>250</v>
      </c>
      <c r="F8" s="23" t="s">
        <v>20</v>
      </c>
      <c r="G8" s="18">
        <v>2519</v>
      </c>
      <c r="H8" s="23" t="s">
        <v>20</v>
      </c>
      <c r="I8" s="18">
        <v>876.3</v>
      </c>
      <c r="J8" s="23" t="s">
        <v>20</v>
      </c>
      <c r="K8" s="20">
        <v>746.3</v>
      </c>
      <c r="L8" s="23" t="s">
        <v>20</v>
      </c>
      <c r="M8" s="18">
        <v>1551.3</v>
      </c>
      <c r="N8" s="24" t="s">
        <v>20</v>
      </c>
      <c r="O8" s="18">
        <v>1312.3</v>
      </c>
      <c r="P8" s="24" t="s">
        <v>21</v>
      </c>
      <c r="Q8" s="18">
        <v>1782.3</v>
      </c>
      <c r="R8" s="24" t="s">
        <v>21</v>
      </c>
      <c r="S8" s="21">
        <v>1795.3</v>
      </c>
      <c r="T8" s="21">
        <v>451</v>
      </c>
      <c r="U8" s="21" t="s">
        <v>22</v>
      </c>
      <c r="V8" s="22" t="s">
        <v>22</v>
      </c>
    </row>
    <row r="9" spans="1:23" s="2" customFormat="1" ht="8.4" customHeight="1" x14ac:dyDescent="0.2">
      <c r="A9" s="16"/>
      <c r="B9" s="17" t="s">
        <v>23</v>
      </c>
      <c r="C9" s="18">
        <v>7146.7</v>
      </c>
      <c r="D9" s="19"/>
      <c r="E9" s="18">
        <v>6840.9</v>
      </c>
      <c r="F9" s="19"/>
      <c r="G9" s="18">
        <v>4749.3999999999996</v>
      </c>
      <c r="H9" s="19"/>
      <c r="I9" s="18">
        <v>6234.8</v>
      </c>
      <c r="J9" s="19"/>
      <c r="K9" s="20">
        <v>6295.1</v>
      </c>
      <c r="L9" s="19"/>
      <c r="M9" s="18">
        <v>5993.2</v>
      </c>
      <c r="N9" s="19"/>
      <c r="O9" s="18">
        <v>6232.2</v>
      </c>
      <c r="P9" s="19"/>
      <c r="Q9" s="18">
        <v>6057.2</v>
      </c>
      <c r="R9" s="19"/>
      <c r="S9" s="21">
        <v>6515</v>
      </c>
      <c r="T9" s="21">
        <v>7759.3</v>
      </c>
      <c r="U9" s="21">
        <v>8055.3</v>
      </c>
      <c r="V9" s="22">
        <v>8127.5</v>
      </c>
    </row>
    <row r="10" spans="1:23" s="2" customFormat="1" ht="8.4" customHeight="1" x14ac:dyDescent="0.2">
      <c r="A10" s="16"/>
      <c r="B10" s="17" t="s">
        <v>24</v>
      </c>
      <c r="C10" s="18">
        <v>883.5</v>
      </c>
      <c r="D10" s="19"/>
      <c r="E10" s="18">
        <v>1001.6</v>
      </c>
      <c r="F10" s="19"/>
      <c r="G10" s="18">
        <v>824.1</v>
      </c>
      <c r="H10" s="19"/>
      <c r="I10" s="18">
        <v>981.4</v>
      </c>
      <c r="J10" s="19"/>
      <c r="K10" s="20">
        <v>1051.0999999999999</v>
      </c>
      <c r="L10" s="19"/>
      <c r="M10" s="18">
        <v>1048</v>
      </c>
      <c r="N10" s="19"/>
      <c r="O10" s="18">
        <v>1048</v>
      </c>
      <c r="P10" s="19"/>
      <c r="Q10" s="18">
        <v>753</v>
      </c>
      <c r="R10" s="19"/>
      <c r="S10" s="21">
        <v>872.2</v>
      </c>
      <c r="T10" s="21">
        <v>972.2</v>
      </c>
      <c r="U10" s="21">
        <v>1127.2</v>
      </c>
      <c r="V10" s="22">
        <v>1055</v>
      </c>
    </row>
    <row r="11" spans="1:23" s="2" customFormat="1" ht="8.4" customHeight="1" x14ac:dyDescent="0.2">
      <c r="A11" s="16"/>
      <c r="B11" s="17" t="s">
        <v>25</v>
      </c>
      <c r="C11" s="18">
        <v>839.9</v>
      </c>
      <c r="D11" s="19"/>
      <c r="E11" s="18">
        <v>956</v>
      </c>
      <c r="F11" s="19"/>
      <c r="G11" s="18">
        <v>786</v>
      </c>
      <c r="H11" s="19"/>
      <c r="I11" s="18">
        <v>943.3</v>
      </c>
      <c r="J11" s="19"/>
      <c r="K11" s="20">
        <v>1020</v>
      </c>
      <c r="L11" s="19"/>
      <c r="M11" s="18">
        <v>1045</v>
      </c>
      <c r="N11" s="19"/>
      <c r="O11" s="18">
        <v>1045</v>
      </c>
      <c r="P11" s="19"/>
      <c r="Q11" s="18">
        <v>750</v>
      </c>
      <c r="R11" s="19"/>
      <c r="S11" s="21">
        <v>872.2</v>
      </c>
      <c r="T11" s="21">
        <v>972.2</v>
      </c>
      <c r="U11" s="21">
        <v>1127.2</v>
      </c>
      <c r="V11" s="22">
        <v>1055</v>
      </c>
    </row>
    <row r="12" spans="1:23" s="2" customFormat="1" ht="8.4" customHeight="1" x14ac:dyDescent="0.2">
      <c r="A12" s="9">
        <v>2</v>
      </c>
      <c r="B12" s="10" t="s">
        <v>26</v>
      </c>
      <c r="C12" s="11">
        <v>3042.2</v>
      </c>
      <c r="D12" s="12"/>
      <c r="E12" s="11">
        <v>3042.2</v>
      </c>
      <c r="F12" s="12"/>
      <c r="G12" s="11">
        <v>3042.2</v>
      </c>
      <c r="H12" s="12"/>
      <c r="I12" s="11">
        <v>3042.2</v>
      </c>
      <c r="J12" s="12"/>
      <c r="K12" s="13">
        <v>3042.2</v>
      </c>
      <c r="L12" s="12"/>
      <c r="M12" s="11">
        <v>3042.2</v>
      </c>
      <c r="N12" s="12"/>
      <c r="O12" s="11">
        <v>3042.2</v>
      </c>
      <c r="P12" s="12"/>
      <c r="Q12" s="11">
        <v>3042.2</v>
      </c>
      <c r="R12" s="12"/>
      <c r="S12" s="14">
        <v>3042.2</v>
      </c>
      <c r="T12" s="14">
        <v>3042.2</v>
      </c>
      <c r="U12" s="14">
        <v>3042.2</v>
      </c>
      <c r="V12" s="15">
        <v>3302.2</v>
      </c>
      <c r="W12" s="25"/>
    </row>
    <row r="13" spans="1:23" s="2" customFormat="1" ht="8.4" customHeight="1" x14ac:dyDescent="0.2">
      <c r="A13" s="16"/>
      <c r="B13" s="17" t="s">
        <v>18</v>
      </c>
      <c r="C13" s="18">
        <v>2571.3000000000002</v>
      </c>
      <c r="D13" s="19"/>
      <c r="E13" s="18">
        <v>2571.3000000000002</v>
      </c>
      <c r="F13" s="19"/>
      <c r="G13" s="18">
        <v>2571.3000000000002</v>
      </c>
      <c r="H13" s="19"/>
      <c r="I13" s="18">
        <v>2571.3000000000002</v>
      </c>
      <c r="J13" s="19"/>
      <c r="K13" s="20">
        <v>2571.3000000000002</v>
      </c>
      <c r="L13" s="19"/>
      <c r="M13" s="18">
        <v>2571.3000000000002</v>
      </c>
      <c r="N13" s="19"/>
      <c r="O13" s="18">
        <v>2571.3000000000002</v>
      </c>
      <c r="P13" s="19"/>
      <c r="Q13" s="18">
        <v>2571.3000000000002</v>
      </c>
      <c r="R13" s="19"/>
      <c r="S13" s="21">
        <v>2571.3000000000002</v>
      </c>
      <c r="T13" s="21">
        <v>2571.3000000000002</v>
      </c>
      <c r="U13" s="21">
        <v>2571.3000000000002</v>
      </c>
      <c r="V13" s="22">
        <v>2730.2</v>
      </c>
      <c r="W13" s="25"/>
    </row>
    <row r="14" spans="1:23" s="2" customFormat="1" ht="8.4" customHeight="1" x14ac:dyDescent="0.2">
      <c r="A14" s="16"/>
      <c r="B14" s="17" t="s">
        <v>27</v>
      </c>
      <c r="C14" s="18">
        <v>1518.6</v>
      </c>
      <c r="D14" s="19"/>
      <c r="E14" s="18">
        <v>1518.6</v>
      </c>
      <c r="F14" s="19"/>
      <c r="G14" s="18">
        <v>1518.6</v>
      </c>
      <c r="H14" s="19"/>
      <c r="I14" s="18">
        <v>1518.6</v>
      </c>
      <c r="J14" s="19"/>
      <c r="K14" s="20">
        <v>1518.6</v>
      </c>
      <c r="L14" s="19"/>
      <c r="M14" s="18">
        <v>1518.6</v>
      </c>
      <c r="N14" s="19"/>
      <c r="O14" s="18">
        <v>1518.6</v>
      </c>
      <c r="P14" s="19"/>
      <c r="Q14" s="18">
        <v>1518.6</v>
      </c>
      <c r="R14" s="19"/>
      <c r="S14" s="21">
        <v>1518.6</v>
      </c>
      <c r="T14" s="21">
        <v>1518.6</v>
      </c>
      <c r="U14" s="21">
        <v>1518.6</v>
      </c>
      <c r="V14" s="22">
        <v>1518.6</v>
      </c>
    </row>
    <row r="15" spans="1:23" s="2" customFormat="1" ht="8.4" customHeight="1" x14ac:dyDescent="0.2">
      <c r="A15" s="16"/>
      <c r="B15" s="17" t="s">
        <v>23</v>
      </c>
      <c r="C15" s="18">
        <v>1052.7</v>
      </c>
      <c r="D15" s="19"/>
      <c r="E15" s="18">
        <v>1052.7</v>
      </c>
      <c r="F15" s="19"/>
      <c r="G15" s="18">
        <v>1052.7</v>
      </c>
      <c r="H15" s="19"/>
      <c r="I15" s="18">
        <v>1052.7</v>
      </c>
      <c r="J15" s="19"/>
      <c r="K15" s="20">
        <v>1052.7</v>
      </c>
      <c r="L15" s="19"/>
      <c r="M15" s="18">
        <v>1052.7</v>
      </c>
      <c r="N15" s="19"/>
      <c r="O15" s="18">
        <v>1052.7</v>
      </c>
      <c r="P15" s="19"/>
      <c r="Q15" s="18">
        <v>1052.7</v>
      </c>
      <c r="R15" s="19"/>
      <c r="S15" s="21">
        <v>1052.7</v>
      </c>
      <c r="T15" s="21">
        <v>1052.7</v>
      </c>
      <c r="U15" s="21">
        <v>1052.7</v>
      </c>
      <c r="V15" s="22">
        <v>1211.5999999999999</v>
      </c>
    </row>
    <row r="16" spans="1:23" s="2" customFormat="1" ht="8.4" customHeight="1" x14ac:dyDescent="0.2">
      <c r="A16" s="16"/>
      <c r="B16" s="17" t="s">
        <v>28</v>
      </c>
      <c r="C16" s="18">
        <v>470.9</v>
      </c>
      <c r="D16" s="19"/>
      <c r="E16" s="18">
        <v>470.9</v>
      </c>
      <c r="F16" s="19"/>
      <c r="G16" s="18">
        <v>470.9</v>
      </c>
      <c r="H16" s="19"/>
      <c r="I16" s="18">
        <v>470.9</v>
      </c>
      <c r="J16" s="19"/>
      <c r="K16" s="20">
        <v>470.9</v>
      </c>
      <c r="L16" s="19"/>
      <c r="M16" s="18">
        <v>470.9</v>
      </c>
      <c r="N16" s="19"/>
      <c r="O16" s="18">
        <v>470.9</v>
      </c>
      <c r="P16" s="19"/>
      <c r="Q16" s="18">
        <v>470.9</v>
      </c>
      <c r="R16" s="19"/>
      <c r="S16" s="21">
        <v>470.9</v>
      </c>
      <c r="T16" s="21">
        <v>470.9</v>
      </c>
      <c r="U16" s="21">
        <v>470.9</v>
      </c>
      <c r="V16" s="22">
        <v>572</v>
      </c>
      <c r="W16" s="25"/>
    </row>
    <row r="17" spans="1:23" s="2" customFormat="1" ht="8.4" customHeight="1" x14ac:dyDescent="0.2">
      <c r="A17" s="9">
        <v>3</v>
      </c>
      <c r="B17" s="10" t="s">
        <v>29</v>
      </c>
      <c r="C17" s="11">
        <v>8736.5</v>
      </c>
      <c r="D17" s="12"/>
      <c r="E17" s="11">
        <v>8736.5</v>
      </c>
      <c r="F17" s="12"/>
      <c r="G17" s="11">
        <v>8736.5</v>
      </c>
      <c r="H17" s="12"/>
      <c r="I17" s="11">
        <v>8586.5</v>
      </c>
      <c r="J17" s="12"/>
      <c r="K17" s="13">
        <v>8586.4500000000007</v>
      </c>
      <c r="L17" s="12"/>
      <c r="M17" s="11">
        <v>8586.5</v>
      </c>
      <c r="N17" s="12"/>
      <c r="O17" s="11">
        <v>8386.5</v>
      </c>
      <c r="P17" s="12"/>
      <c r="Q17" s="11">
        <v>8386.5</v>
      </c>
      <c r="R17" s="12"/>
      <c r="S17" s="14">
        <v>8686.5</v>
      </c>
      <c r="T17" s="14">
        <v>8686.5</v>
      </c>
      <c r="U17" s="14">
        <v>9306.5</v>
      </c>
      <c r="V17" s="15">
        <v>9886.4</v>
      </c>
    </row>
    <row r="18" spans="1:23" s="2" customFormat="1" ht="8.4" customHeight="1" x14ac:dyDescent="0.2">
      <c r="A18" s="16"/>
      <c r="B18" s="17" t="s">
        <v>18</v>
      </c>
      <c r="C18" s="18">
        <v>1161.0999999999999</v>
      </c>
      <c r="D18" s="19"/>
      <c r="E18" s="18">
        <v>1117.4000000000001</v>
      </c>
      <c r="F18" s="19"/>
      <c r="G18" s="18">
        <v>1087.3</v>
      </c>
      <c r="H18" s="19"/>
      <c r="I18" s="18">
        <v>628.5</v>
      </c>
      <c r="J18" s="19"/>
      <c r="K18" s="20">
        <v>617.85</v>
      </c>
      <c r="L18" s="19"/>
      <c r="M18" s="18">
        <v>611.1</v>
      </c>
      <c r="N18" s="19"/>
      <c r="O18" s="18">
        <v>364.4</v>
      </c>
      <c r="P18" s="19"/>
      <c r="Q18" s="18">
        <v>336.8</v>
      </c>
      <c r="R18" s="19"/>
      <c r="S18" s="21">
        <v>405.3</v>
      </c>
      <c r="T18" s="21">
        <v>342.6</v>
      </c>
      <c r="U18" s="21">
        <v>442.6</v>
      </c>
      <c r="V18" s="22">
        <v>448.5</v>
      </c>
    </row>
    <row r="19" spans="1:23" s="2" customFormat="1" ht="8.4" customHeight="1" x14ac:dyDescent="0.2">
      <c r="A19" s="16"/>
      <c r="B19" s="17" t="s">
        <v>19</v>
      </c>
      <c r="C19" s="18">
        <v>1006.6</v>
      </c>
      <c r="D19" s="23" t="s">
        <v>30</v>
      </c>
      <c r="E19" s="18">
        <v>962.9</v>
      </c>
      <c r="F19" s="23" t="s">
        <v>31</v>
      </c>
      <c r="G19" s="18">
        <v>932.8</v>
      </c>
      <c r="H19" s="23" t="s">
        <v>31</v>
      </c>
      <c r="I19" s="18">
        <v>474</v>
      </c>
      <c r="J19" s="23" t="s">
        <v>32</v>
      </c>
      <c r="K19" s="20">
        <v>463.4</v>
      </c>
      <c r="L19" s="19"/>
      <c r="M19" s="18">
        <v>456.6</v>
      </c>
      <c r="N19" s="19"/>
      <c r="O19" s="18">
        <v>209.9</v>
      </c>
      <c r="P19" s="19"/>
      <c r="Q19" s="18">
        <v>182.3</v>
      </c>
      <c r="R19" s="19"/>
      <c r="S19" s="21">
        <v>250.8</v>
      </c>
      <c r="T19" s="21">
        <v>188.1</v>
      </c>
      <c r="U19" s="21">
        <v>288.10000000000002</v>
      </c>
      <c r="V19" s="22">
        <v>294</v>
      </c>
    </row>
    <row r="20" spans="1:23" s="2" customFormat="1" ht="8.4" customHeight="1" x14ac:dyDescent="0.2">
      <c r="A20" s="16"/>
      <c r="B20" s="17" t="s">
        <v>23</v>
      </c>
      <c r="C20" s="18">
        <v>154.5</v>
      </c>
      <c r="D20" s="19"/>
      <c r="E20" s="18">
        <v>154.5</v>
      </c>
      <c r="F20" s="19"/>
      <c r="G20" s="18">
        <v>154.5</v>
      </c>
      <c r="H20" s="19"/>
      <c r="I20" s="18">
        <v>154.5</v>
      </c>
      <c r="J20" s="19"/>
      <c r="K20" s="20">
        <v>154.44999999999999</v>
      </c>
      <c r="L20" s="19"/>
      <c r="M20" s="18">
        <v>154.5</v>
      </c>
      <c r="N20" s="19"/>
      <c r="O20" s="18">
        <v>154.5</v>
      </c>
      <c r="P20" s="19"/>
      <c r="Q20" s="18">
        <v>154.5</v>
      </c>
      <c r="R20" s="19"/>
      <c r="S20" s="21">
        <v>154.5</v>
      </c>
      <c r="T20" s="21">
        <v>154.5</v>
      </c>
      <c r="U20" s="21">
        <v>154.5</v>
      </c>
      <c r="V20" s="22">
        <v>154.5</v>
      </c>
      <c r="W20" s="25"/>
    </row>
    <row r="21" spans="1:23" s="2" customFormat="1" ht="8.4" customHeight="1" x14ac:dyDescent="0.2">
      <c r="A21" s="16"/>
      <c r="B21" s="17" t="s">
        <v>33</v>
      </c>
      <c r="C21" s="18">
        <v>7575.4</v>
      </c>
      <c r="D21" s="19"/>
      <c r="E21" s="18">
        <v>7619.1</v>
      </c>
      <c r="F21" s="19"/>
      <c r="G21" s="18">
        <v>7649.2</v>
      </c>
      <c r="H21" s="19"/>
      <c r="I21" s="18">
        <v>7958</v>
      </c>
      <c r="J21" s="19"/>
      <c r="K21" s="20">
        <v>7968.6</v>
      </c>
      <c r="L21" s="19"/>
      <c r="M21" s="18">
        <v>7975.4</v>
      </c>
      <c r="N21" s="19"/>
      <c r="O21" s="18">
        <v>8022.1</v>
      </c>
      <c r="P21" s="19"/>
      <c r="Q21" s="18">
        <v>8049.7</v>
      </c>
      <c r="R21" s="19"/>
      <c r="S21" s="21">
        <v>8281.2000000000007</v>
      </c>
      <c r="T21" s="21">
        <v>8343.9</v>
      </c>
      <c r="U21" s="21">
        <v>8863.9</v>
      </c>
      <c r="V21" s="22">
        <v>9437.9</v>
      </c>
    </row>
    <row r="22" spans="1:23" s="2" customFormat="1" ht="8.4" customHeight="1" x14ac:dyDescent="0.2">
      <c r="A22" s="9">
        <v>4</v>
      </c>
      <c r="B22" s="10" t="s">
        <v>34</v>
      </c>
      <c r="C22" s="11">
        <v>16019.7</v>
      </c>
      <c r="D22" s="12"/>
      <c r="E22" s="11">
        <v>16019.7</v>
      </c>
      <c r="F22" s="12"/>
      <c r="G22" s="11">
        <v>16019.7</v>
      </c>
      <c r="H22" s="12"/>
      <c r="I22" s="11">
        <v>16019.7</v>
      </c>
      <c r="J22" s="12"/>
      <c r="K22" s="13">
        <v>16019.7</v>
      </c>
      <c r="L22" s="12"/>
      <c r="M22" s="11">
        <v>16019.7</v>
      </c>
      <c r="N22" s="12"/>
      <c r="O22" s="11">
        <v>16019.7</v>
      </c>
      <c r="P22" s="12"/>
      <c r="Q22" s="11">
        <v>16019.7</v>
      </c>
      <c r="R22" s="12"/>
      <c r="S22" s="14">
        <v>16019.7</v>
      </c>
      <c r="T22" s="14">
        <v>16019.7</v>
      </c>
      <c r="U22" s="14">
        <v>16035.6</v>
      </c>
      <c r="V22" s="15">
        <v>16035.6</v>
      </c>
    </row>
    <row r="23" spans="1:23" s="2" customFormat="1" ht="8.4" customHeight="1" x14ac:dyDescent="0.2">
      <c r="A23" s="16"/>
      <c r="B23" s="17" t="s">
        <v>18</v>
      </c>
      <c r="C23" s="18">
        <v>14546.2</v>
      </c>
      <c r="D23" s="19"/>
      <c r="E23" s="18">
        <v>14546.2</v>
      </c>
      <c r="F23" s="19"/>
      <c r="G23" s="18">
        <v>14546.2</v>
      </c>
      <c r="H23" s="19"/>
      <c r="I23" s="18">
        <v>14546.2</v>
      </c>
      <c r="J23" s="19"/>
      <c r="K23" s="20">
        <v>14546.2</v>
      </c>
      <c r="L23" s="19"/>
      <c r="M23" s="18">
        <v>14546.2</v>
      </c>
      <c r="N23" s="19"/>
      <c r="O23" s="18">
        <v>14546.2</v>
      </c>
      <c r="P23" s="19"/>
      <c r="Q23" s="18">
        <v>14546.2</v>
      </c>
      <c r="R23" s="19"/>
      <c r="S23" s="21">
        <v>14546.2</v>
      </c>
      <c r="T23" s="21">
        <v>14546.2</v>
      </c>
      <c r="U23" s="21">
        <v>14562.1</v>
      </c>
      <c r="V23" s="22">
        <v>14562.1</v>
      </c>
    </row>
    <row r="24" spans="1:23" s="2" customFormat="1" ht="8.4" customHeight="1" x14ac:dyDescent="0.2">
      <c r="A24" s="16"/>
      <c r="B24" s="17" t="s">
        <v>35</v>
      </c>
      <c r="C24" s="18">
        <v>13427.6</v>
      </c>
      <c r="D24" s="19"/>
      <c r="E24" s="18">
        <v>13427.6</v>
      </c>
      <c r="F24" s="19"/>
      <c r="G24" s="18">
        <v>13427.6</v>
      </c>
      <c r="H24" s="19"/>
      <c r="I24" s="18">
        <v>13427.6</v>
      </c>
      <c r="J24" s="19"/>
      <c r="K24" s="20">
        <v>13427.6</v>
      </c>
      <c r="L24" s="19"/>
      <c r="M24" s="18">
        <v>13427.6</v>
      </c>
      <c r="N24" s="19"/>
      <c r="O24" s="18">
        <v>13427.6</v>
      </c>
      <c r="P24" s="19"/>
      <c r="Q24" s="18">
        <v>13427.6</v>
      </c>
      <c r="R24" s="19"/>
      <c r="S24" s="21">
        <v>13427.6</v>
      </c>
      <c r="T24" s="21">
        <v>13427.6</v>
      </c>
      <c r="U24" s="21">
        <v>13775.1</v>
      </c>
      <c r="V24" s="22">
        <v>13775.1</v>
      </c>
      <c r="W24" s="25"/>
    </row>
    <row r="25" spans="1:23" s="2" customFormat="1" ht="8.4" customHeight="1" x14ac:dyDescent="0.2">
      <c r="A25" s="16"/>
      <c r="B25" s="17" t="s">
        <v>23</v>
      </c>
      <c r="C25" s="18">
        <v>1118.5999999999999</v>
      </c>
      <c r="D25" s="19"/>
      <c r="E25" s="18">
        <v>1118.5999999999999</v>
      </c>
      <c r="F25" s="19"/>
      <c r="G25" s="18">
        <v>1118.5999999999999</v>
      </c>
      <c r="H25" s="19"/>
      <c r="I25" s="18">
        <v>1118.5999999999999</v>
      </c>
      <c r="J25" s="19"/>
      <c r="K25" s="20">
        <v>1118.5999999999999</v>
      </c>
      <c r="L25" s="19"/>
      <c r="M25" s="18">
        <v>1118.5999999999999</v>
      </c>
      <c r="N25" s="19"/>
      <c r="O25" s="18">
        <v>1118.5999999999999</v>
      </c>
      <c r="P25" s="19"/>
      <c r="Q25" s="18">
        <v>1118.5999999999999</v>
      </c>
      <c r="R25" s="19"/>
      <c r="S25" s="21">
        <v>1118.5999999999999</v>
      </c>
      <c r="T25" s="21">
        <v>1118.5999999999999</v>
      </c>
      <c r="U25" s="21">
        <v>787</v>
      </c>
      <c r="V25" s="22">
        <v>787</v>
      </c>
    </row>
    <row r="26" spans="1:23" s="2" customFormat="1" ht="8.4" customHeight="1" x14ac:dyDescent="0.2">
      <c r="A26" s="16"/>
      <c r="B26" s="17" t="s">
        <v>36</v>
      </c>
      <c r="C26" s="18">
        <v>1473.5</v>
      </c>
      <c r="D26" s="19"/>
      <c r="E26" s="18">
        <v>1473.5</v>
      </c>
      <c r="F26" s="19"/>
      <c r="G26" s="18">
        <v>1473.5</v>
      </c>
      <c r="H26" s="19"/>
      <c r="I26" s="18">
        <v>1473.5</v>
      </c>
      <c r="J26" s="19"/>
      <c r="K26" s="20">
        <v>1473.5</v>
      </c>
      <c r="L26" s="19"/>
      <c r="M26" s="18">
        <v>1473.5</v>
      </c>
      <c r="N26" s="19"/>
      <c r="O26" s="18">
        <v>1473.5</v>
      </c>
      <c r="P26" s="19"/>
      <c r="Q26" s="18">
        <v>1473.5</v>
      </c>
      <c r="R26" s="19"/>
      <c r="S26" s="21">
        <v>1473.5</v>
      </c>
      <c r="T26" s="21">
        <v>1473.5</v>
      </c>
      <c r="U26" s="21">
        <v>1473.5</v>
      </c>
      <c r="V26" s="22">
        <v>1473.5</v>
      </c>
    </row>
    <row r="27" spans="1:23" s="2" customFormat="1" ht="8.4" customHeight="1" x14ac:dyDescent="0.2">
      <c r="A27" s="26">
        <v>5</v>
      </c>
      <c r="B27" s="27" t="s">
        <v>37</v>
      </c>
      <c r="C27" s="11">
        <v>3668.9</v>
      </c>
      <c r="D27" s="12"/>
      <c r="E27" s="11">
        <v>3240</v>
      </c>
      <c r="F27" s="12"/>
      <c r="G27" s="11">
        <v>4834</v>
      </c>
      <c r="H27" s="12"/>
      <c r="I27" s="11">
        <v>5059.6000000000004</v>
      </c>
      <c r="J27" s="12"/>
      <c r="K27" s="13">
        <v>4511.5</v>
      </c>
      <c r="L27" s="12"/>
      <c r="M27" s="11">
        <v>4477</v>
      </c>
      <c r="N27" s="12"/>
      <c r="O27" s="11">
        <v>5225.8</v>
      </c>
      <c r="P27" s="12"/>
      <c r="Q27" s="11">
        <v>5550</v>
      </c>
      <c r="R27" s="12"/>
      <c r="S27" s="14">
        <v>4287.8</v>
      </c>
      <c r="T27" s="14">
        <v>3363</v>
      </c>
      <c r="U27" s="14">
        <v>4398.7</v>
      </c>
      <c r="V27" s="15">
        <v>6204.4</v>
      </c>
    </row>
    <row r="28" spans="1:23" s="2" customFormat="1" ht="8.4" customHeight="1" x14ac:dyDescent="0.2">
      <c r="A28" s="9">
        <v>6</v>
      </c>
      <c r="B28" s="10" t="s">
        <v>38</v>
      </c>
      <c r="C28" s="11">
        <v>39559.800000000003</v>
      </c>
      <c r="D28" s="12"/>
      <c r="E28" s="11">
        <v>39130.9</v>
      </c>
      <c r="F28" s="12"/>
      <c r="G28" s="11">
        <v>40724.9</v>
      </c>
      <c r="H28" s="12"/>
      <c r="I28" s="11">
        <v>40800.5</v>
      </c>
      <c r="J28" s="12"/>
      <c r="K28" s="13">
        <v>40252.35</v>
      </c>
      <c r="L28" s="12"/>
      <c r="M28" s="11">
        <v>40717.9</v>
      </c>
      <c r="N28" s="12"/>
      <c r="O28" s="11">
        <v>41266.699999999997</v>
      </c>
      <c r="P28" s="12"/>
      <c r="Q28" s="11">
        <v>41590.9</v>
      </c>
      <c r="R28" s="12"/>
      <c r="S28" s="14">
        <v>41218.699999999997</v>
      </c>
      <c r="T28" s="14">
        <v>40293.9</v>
      </c>
      <c r="U28" s="14">
        <v>41965.5</v>
      </c>
      <c r="V28" s="15">
        <v>44611.1</v>
      </c>
    </row>
    <row r="29" spans="1:23" s="2" customFormat="1" ht="8.4" customHeight="1" x14ac:dyDescent="0.2">
      <c r="A29" s="16"/>
      <c r="B29" s="17" t="s">
        <v>18</v>
      </c>
      <c r="C29" s="18">
        <v>29156.5</v>
      </c>
      <c r="D29" s="19"/>
      <c r="E29" s="18">
        <v>28565.8</v>
      </c>
      <c r="F29" s="19"/>
      <c r="G29" s="18">
        <v>30307.200000000001</v>
      </c>
      <c r="H29" s="19"/>
      <c r="I29" s="18">
        <v>29916.7</v>
      </c>
      <c r="J29" s="19"/>
      <c r="K29" s="20">
        <v>29288.25</v>
      </c>
      <c r="L29" s="19"/>
      <c r="M29" s="18">
        <v>29750.1</v>
      </c>
      <c r="N29" s="19"/>
      <c r="O29" s="18">
        <v>30252.2</v>
      </c>
      <c r="P29" s="19"/>
      <c r="Q29" s="18">
        <v>30843.8</v>
      </c>
      <c r="R29" s="19"/>
      <c r="S29" s="21">
        <v>30120.9</v>
      </c>
      <c r="T29" s="21">
        <v>29033.4</v>
      </c>
      <c r="U29" s="21">
        <v>30030</v>
      </c>
      <c r="V29" s="22">
        <v>32072.7</v>
      </c>
    </row>
    <row r="30" spans="1:23" s="2" customFormat="1" ht="8.4" customHeight="1" x14ac:dyDescent="0.2">
      <c r="A30" s="16"/>
      <c r="B30" s="17" t="s">
        <v>19</v>
      </c>
      <c r="C30" s="18">
        <v>19684</v>
      </c>
      <c r="D30" s="19"/>
      <c r="E30" s="18">
        <v>19399.099999999999</v>
      </c>
      <c r="F30" s="19"/>
      <c r="G30" s="18">
        <v>23232</v>
      </c>
      <c r="H30" s="19"/>
      <c r="I30" s="18">
        <v>21356.1</v>
      </c>
      <c r="J30" s="19"/>
      <c r="K30" s="20">
        <v>20667.400000000001</v>
      </c>
      <c r="L30" s="19"/>
      <c r="M30" s="18">
        <v>21431.1</v>
      </c>
      <c r="N30" s="19"/>
      <c r="O30" s="18">
        <v>21694.2</v>
      </c>
      <c r="P30" s="19"/>
      <c r="Q30" s="18">
        <v>22460.799999999999</v>
      </c>
      <c r="R30" s="19"/>
      <c r="S30" s="21">
        <v>21280.1</v>
      </c>
      <c r="T30" s="21">
        <v>18948.3</v>
      </c>
      <c r="U30" s="21">
        <v>19980.5</v>
      </c>
      <c r="V30" s="22">
        <v>21792.1</v>
      </c>
    </row>
    <row r="31" spans="1:23" s="2" customFormat="1" ht="8.4" customHeight="1" x14ac:dyDescent="0.2">
      <c r="A31" s="16"/>
      <c r="B31" s="17" t="s">
        <v>23</v>
      </c>
      <c r="C31" s="18">
        <v>9472.5</v>
      </c>
      <c r="D31" s="19"/>
      <c r="E31" s="18">
        <v>9166.7000000000007</v>
      </c>
      <c r="F31" s="19"/>
      <c r="G31" s="18">
        <v>7075.2</v>
      </c>
      <c r="H31" s="19"/>
      <c r="I31" s="18">
        <v>8560.6</v>
      </c>
      <c r="J31" s="19"/>
      <c r="K31" s="20">
        <v>8620.85</v>
      </c>
      <c r="L31" s="19"/>
      <c r="M31" s="18">
        <v>8319</v>
      </c>
      <c r="N31" s="19"/>
      <c r="O31" s="18">
        <v>8558</v>
      </c>
      <c r="P31" s="19"/>
      <c r="Q31" s="18">
        <v>8383</v>
      </c>
      <c r="R31" s="19"/>
      <c r="S31" s="21">
        <v>8840.7999999999993</v>
      </c>
      <c r="T31" s="21">
        <v>10085.1</v>
      </c>
      <c r="U31" s="21">
        <v>10049.5</v>
      </c>
      <c r="V31" s="22">
        <v>10280.6</v>
      </c>
      <c r="W31" s="25"/>
    </row>
    <row r="32" spans="1:23" s="2" customFormat="1" ht="8.4" customHeight="1" x14ac:dyDescent="0.2">
      <c r="A32" s="16"/>
      <c r="B32" s="17" t="s">
        <v>24</v>
      </c>
      <c r="C32" s="18">
        <v>10403.299999999999</v>
      </c>
      <c r="D32" s="28"/>
      <c r="E32" s="18">
        <v>10565.1</v>
      </c>
      <c r="F32" s="28"/>
      <c r="G32" s="18">
        <v>10417.700000000001</v>
      </c>
      <c r="H32" s="28"/>
      <c r="I32" s="18">
        <v>10883.8</v>
      </c>
      <c r="J32" s="28"/>
      <c r="K32" s="20">
        <v>10964.1</v>
      </c>
      <c r="L32" s="19"/>
      <c r="M32" s="18">
        <v>10967.8</v>
      </c>
      <c r="N32" s="19"/>
      <c r="O32" s="18">
        <v>11014.5</v>
      </c>
      <c r="P32" s="19"/>
      <c r="Q32" s="18">
        <v>10747.1</v>
      </c>
      <c r="R32" s="19"/>
      <c r="S32" s="21">
        <v>11097.8</v>
      </c>
      <c r="T32" s="21">
        <v>11260.5</v>
      </c>
      <c r="U32" s="21">
        <v>11935.5</v>
      </c>
      <c r="V32" s="22">
        <v>12538.4</v>
      </c>
      <c r="W32" s="25"/>
    </row>
    <row r="33" spans="1:23" s="2" customFormat="1" ht="8.4" customHeight="1" thickBot="1" x14ac:dyDescent="0.25">
      <c r="A33" s="29"/>
      <c r="B33" s="30" t="s">
        <v>25</v>
      </c>
      <c r="C33" s="31">
        <v>839.9</v>
      </c>
      <c r="D33" s="32"/>
      <c r="E33" s="31">
        <v>956</v>
      </c>
      <c r="F33" s="32"/>
      <c r="G33" s="31">
        <v>786</v>
      </c>
      <c r="H33" s="32"/>
      <c r="I33" s="31">
        <v>943.3</v>
      </c>
      <c r="J33" s="32"/>
      <c r="K33" s="33">
        <v>1020</v>
      </c>
      <c r="L33" s="32"/>
      <c r="M33" s="31">
        <v>1045</v>
      </c>
      <c r="N33" s="32"/>
      <c r="O33" s="31">
        <v>1045</v>
      </c>
      <c r="P33" s="32"/>
      <c r="Q33" s="31">
        <v>750</v>
      </c>
      <c r="R33" s="32"/>
      <c r="S33" s="34">
        <v>872.2</v>
      </c>
      <c r="T33" s="34">
        <v>972.2</v>
      </c>
      <c r="U33" s="34">
        <v>1127.2</v>
      </c>
      <c r="V33" s="35">
        <v>1055</v>
      </c>
      <c r="W33" s="25"/>
    </row>
    <row r="34" spans="1:23" s="37" customFormat="1" ht="9" customHeight="1" thickTop="1" x14ac:dyDescent="0.15">
      <c r="A34" s="36" t="s">
        <v>39</v>
      </c>
      <c r="C34" s="38"/>
      <c r="G34" s="38"/>
      <c r="O34" s="38"/>
      <c r="T34" s="38"/>
      <c r="V34" s="38"/>
      <c r="W34" s="38"/>
    </row>
    <row r="35" spans="1:23" s="37" customFormat="1" ht="9" customHeight="1" x14ac:dyDescent="0.15">
      <c r="A35" s="36" t="s">
        <v>40</v>
      </c>
      <c r="C35" s="36" t="s">
        <v>41</v>
      </c>
      <c r="M35" s="38"/>
      <c r="T35" s="38"/>
    </row>
    <row r="36" spans="1:23" s="37" customFormat="1" ht="9" customHeight="1" x14ac:dyDescent="0.15">
      <c r="A36" s="36" t="s">
        <v>42</v>
      </c>
      <c r="C36" s="38"/>
      <c r="E36" s="38"/>
      <c r="G36" s="38"/>
      <c r="O36" s="38"/>
      <c r="T36" s="38"/>
      <c r="U36" s="38"/>
      <c r="V36" s="38"/>
      <c r="W36" s="38"/>
    </row>
    <row r="37" spans="1:23" s="37" customFormat="1" ht="9" customHeight="1" x14ac:dyDescent="0.15">
      <c r="A37" s="36" t="s">
        <v>43</v>
      </c>
      <c r="C37" s="38"/>
      <c r="G37" s="39" t="s">
        <v>44</v>
      </c>
      <c r="T37" s="38"/>
    </row>
    <row r="38" spans="1:23" s="37" customFormat="1" ht="9" customHeight="1" x14ac:dyDescent="0.15">
      <c r="A38" s="36" t="s">
        <v>45</v>
      </c>
      <c r="C38" s="38"/>
      <c r="G38" s="39" t="s">
        <v>46</v>
      </c>
      <c r="O38" s="38"/>
      <c r="T38" s="38"/>
      <c r="U38" s="38"/>
      <c r="V38" s="38"/>
      <c r="W38" s="38"/>
    </row>
    <row r="39" spans="1:23" s="37" customFormat="1" ht="9" customHeight="1" x14ac:dyDescent="0.15">
      <c r="A39" s="36" t="s">
        <v>47</v>
      </c>
      <c r="C39" s="38"/>
      <c r="I39" s="38"/>
      <c r="K39" s="38"/>
      <c r="U39" s="38"/>
    </row>
    <row r="40" spans="1:23" s="37" customFormat="1" ht="9" customHeight="1" x14ac:dyDescent="0.15">
      <c r="A40" s="36" t="s">
        <v>48</v>
      </c>
      <c r="C40" s="38"/>
      <c r="G40" s="38"/>
      <c r="O40" s="38"/>
      <c r="T40" s="38"/>
      <c r="V40" s="38"/>
      <c r="W40" s="38"/>
    </row>
    <row r="41" spans="1:23" s="37" customFormat="1" ht="9" customHeight="1" x14ac:dyDescent="0.15">
      <c r="A41" s="36" t="s">
        <v>49</v>
      </c>
      <c r="C41" s="38"/>
      <c r="I41" s="38"/>
      <c r="K41" s="38"/>
      <c r="M41" s="38"/>
      <c r="T41" s="38"/>
    </row>
    <row r="42" spans="1:23" s="37" customFormat="1" ht="8.4" x14ac:dyDescent="0.15">
      <c r="A42" s="39" t="s">
        <v>50</v>
      </c>
      <c r="I42" s="38"/>
      <c r="O42" s="38"/>
      <c r="T42" s="38"/>
      <c r="V42" s="38"/>
    </row>
    <row r="43" spans="1:23" s="41" customFormat="1" ht="8.4" x14ac:dyDescent="0.15">
      <c r="A43" s="40" t="s">
        <v>51</v>
      </c>
    </row>
    <row r="49" ht="7.5" customHeight="1" x14ac:dyDescent="0.15"/>
  </sheetData>
  <mergeCells count="6">
    <mergeCell ref="A1:V1"/>
    <mergeCell ref="A2:V2"/>
    <mergeCell ref="A3:V3"/>
    <mergeCell ref="A4:A5"/>
    <mergeCell ref="B4:B5"/>
    <mergeCell ref="C4:V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4"/>
  <sheetViews>
    <sheetView workbookViewId="0">
      <selection activeCell="M28" sqref="M28"/>
    </sheetView>
  </sheetViews>
  <sheetFormatPr defaultRowHeight="7.8" x14ac:dyDescent="0.15"/>
  <cols>
    <col min="1" max="1" width="3.33203125" style="157" customWidth="1"/>
    <col min="2" max="2" width="20.88671875" style="157" customWidth="1"/>
    <col min="3" max="14" width="7.5546875" style="157" bestFit="1" customWidth="1"/>
    <col min="15" max="256" width="9.109375" style="157"/>
    <col min="257" max="257" width="3.33203125" style="157" customWidth="1"/>
    <col min="258" max="258" width="20.88671875" style="157" customWidth="1"/>
    <col min="259" max="270" width="7.5546875" style="157" bestFit="1" customWidth="1"/>
    <col min="271" max="512" width="9.109375" style="157"/>
    <col min="513" max="513" width="3.33203125" style="157" customWidth="1"/>
    <col min="514" max="514" width="20.88671875" style="157" customWidth="1"/>
    <col min="515" max="526" width="7.5546875" style="157" bestFit="1" customWidth="1"/>
    <col min="527" max="768" width="9.109375" style="157"/>
    <col min="769" max="769" width="3.33203125" style="157" customWidth="1"/>
    <col min="770" max="770" width="20.88671875" style="157" customWidth="1"/>
    <col min="771" max="782" width="7.5546875" style="157" bestFit="1" customWidth="1"/>
    <col min="783" max="1024" width="9.109375" style="157"/>
    <col min="1025" max="1025" width="3.33203125" style="157" customWidth="1"/>
    <col min="1026" max="1026" width="20.88671875" style="157" customWidth="1"/>
    <col min="1027" max="1038" width="7.5546875" style="157" bestFit="1" customWidth="1"/>
    <col min="1039" max="1280" width="9.109375" style="157"/>
    <col min="1281" max="1281" width="3.33203125" style="157" customWidth="1"/>
    <col min="1282" max="1282" width="20.88671875" style="157" customWidth="1"/>
    <col min="1283" max="1294" width="7.5546875" style="157" bestFit="1" customWidth="1"/>
    <col min="1295" max="1536" width="9.109375" style="157"/>
    <col min="1537" max="1537" width="3.33203125" style="157" customWidth="1"/>
    <col min="1538" max="1538" width="20.88671875" style="157" customWidth="1"/>
    <col min="1539" max="1550" width="7.5546875" style="157" bestFit="1" customWidth="1"/>
    <col min="1551" max="1792" width="9.109375" style="157"/>
    <col min="1793" max="1793" width="3.33203125" style="157" customWidth="1"/>
    <col min="1794" max="1794" width="20.88671875" style="157" customWidth="1"/>
    <col min="1795" max="1806" width="7.5546875" style="157" bestFit="1" customWidth="1"/>
    <col min="1807" max="2048" width="9.109375" style="157"/>
    <col min="2049" max="2049" width="3.33203125" style="157" customWidth="1"/>
    <col min="2050" max="2050" width="20.88671875" style="157" customWidth="1"/>
    <col min="2051" max="2062" width="7.5546875" style="157" bestFit="1" customWidth="1"/>
    <col min="2063" max="2304" width="9.109375" style="157"/>
    <col min="2305" max="2305" width="3.33203125" style="157" customWidth="1"/>
    <col min="2306" max="2306" width="20.88671875" style="157" customWidth="1"/>
    <col min="2307" max="2318" width="7.5546875" style="157" bestFit="1" customWidth="1"/>
    <col min="2319" max="2560" width="9.109375" style="157"/>
    <col min="2561" max="2561" width="3.33203125" style="157" customWidth="1"/>
    <col min="2562" max="2562" width="20.88671875" style="157" customWidth="1"/>
    <col min="2563" max="2574" width="7.5546875" style="157" bestFit="1" customWidth="1"/>
    <col min="2575" max="2816" width="9.109375" style="157"/>
    <col min="2817" max="2817" width="3.33203125" style="157" customWidth="1"/>
    <col min="2818" max="2818" width="20.88671875" style="157" customWidth="1"/>
    <col min="2819" max="2830" width="7.5546875" style="157" bestFit="1" customWidth="1"/>
    <col min="2831" max="3072" width="9.109375" style="157"/>
    <col min="3073" max="3073" width="3.33203125" style="157" customWidth="1"/>
    <col min="3074" max="3074" width="20.88671875" style="157" customWidth="1"/>
    <col min="3075" max="3086" width="7.5546875" style="157" bestFit="1" customWidth="1"/>
    <col min="3087" max="3328" width="9.109375" style="157"/>
    <col min="3329" max="3329" width="3.33203125" style="157" customWidth="1"/>
    <col min="3330" max="3330" width="20.88671875" style="157" customWidth="1"/>
    <col min="3331" max="3342" width="7.5546875" style="157" bestFit="1" customWidth="1"/>
    <col min="3343" max="3584" width="9.109375" style="157"/>
    <col min="3585" max="3585" width="3.33203125" style="157" customWidth="1"/>
    <col min="3586" max="3586" width="20.88671875" style="157" customWidth="1"/>
    <col min="3587" max="3598" width="7.5546875" style="157" bestFit="1" customWidth="1"/>
    <col min="3599" max="3840" width="9.109375" style="157"/>
    <col min="3841" max="3841" width="3.33203125" style="157" customWidth="1"/>
    <col min="3842" max="3842" width="20.88671875" style="157" customWidth="1"/>
    <col min="3843" max="3854" width="7.5546875" style="157" bestFit="1" customWidth="1"/>
    <col min="3855" max="4096" width="9.109375" style="157"/>
    <col min="4097" max="4097" width="3.33203125" style="157" customWidth="1"/>
    <col min="4098" max="4098" width="20.88671875" style="157" customWidth="1"/>
    <col min="4099" max="4110" width="7.5546875" style="157" bestFit="1" customWidth="1"/>
    <col min="4111" max="4352" width="9.109375" style="157"/>
    <col min="4353" max="4353" width="3.33203125" style="157" customWidth="1"/>
    <col min="4354" max="4354" width="20.88671875" style="157" customWidth="1"/>
    <col min="4355" max="4366" width="7.5546875" style="157" bestFit="1" customWidth="1"/>
    <col min="4367" max="4608" width="9.109375" style="157"/>
    <col min="4609" max="4609" width="3.33203125" style="157" customWidth="1"/>
    <col min="4610" max="4610" width="20.88671875" style="157" customWidth="1"/>
    <col min="4611" max="4622" width="7.5546875" style="157" bestFit="1" customWidth="1"/>
    <col min="4623" max="4864" width="9.109375" style="157"/>
    <col min="4865" max="4865" width="3.33203125" style="157" customWidth="1"/>
    <col min="4866" max="4866" width="20.88671875" style="157" customWidth="1"/>
    <col min="4867" max="4878" width="7.5546875" style="157" bestFit="1" customWidth="1"/>
    <col min="4879" max="5120" width="9.109375" style="157"/>
    <col min="5121" max="5121" width="3.33203125" style="157" customWidth="1"/>
    <col min="5122" max="5122" width="20.88671875" style="157" customWidth="1"/>
    <col min="5123" max="5134" width="7.5546875" style="157" bestFit="1" customWidth="1"/>
    <col min="5135" max="5376" width="9.109375" style="157"/>
    <col min="5377" max="5377" width="3.33203125" style="157" customWidth="1"/>
    <col min="5378" max="5378" width="20.88671875" style="157" customWidth="1"/>
    <col min="5379" max="5390" width="7.5546875" style="157" bestFit="1" customWidth="1"/>
    <col min="5391" max="5632" width="9.109375" style="157"/>
    <col min="5633" max="5633" width="3.33203125" style="157" customWidth="1"/>
    <col min="5634" max="5634" width="20.88671875" style="157" customWidth="1"/>
    <col min="5635" max="5646" width="7.5546875" style="157" bestFit="1" customWidth="1"/>
    <col min="5647" max="5888" width="9.109375" style="157"/>
    <col min="5889" max="5889" width="3.33203125" style="157" customWidth="1"/>
    <col min="5890" max="5890" width="20.88671875" style="157" customWidth="1"/>
    <col min="5891" max="5902" width="7.5546875" style="157" bestFit="1" customWidth="1"/>
    <col min="5903" max="6144" width="9.109375" style="157"/>
    <col min="6145" max="6145" width="3.33203125" style="157" customWidth="1"/>
    <col min="6146" max="6146" width="20.88671875" style="157" customWidth="1"/>
    <col min="6147" max="6158" width="7.5546875" style="157" bestFit="1" customWidth="1"/>
    <col min="6159" max="6400" width="9.109375" style="157"/>
    <col min="6401" max="6401" width="3.33203125" style="157" customWidth="1"/>
    <col min="6402" max="6402" width="20.88671875" style="157" customWidth="1"/>
    <col min="6403" max="6414" width="7.5546875" style="157" bestFit="1" customWidth="1"/>
    <col min="6415" max="6656" width="9.109375" style="157"/>
    <col min="6657" max="6657" width="3.33203125" style="157" customWidth="1"/>
    <col min="6658" max="6658" width="20.88671875" style="157" customWidth="1"/>
    <col min="6659" max="6670" width="7.5546875" style="157" bestFit="1" customWidth="1"/>
    <col min="6671" max="6912" width="9.109375" style="157"/>
    <col min="6913" max="6913" width="3.33203125" style="157" customWidth="1"/>
    <col min="6914" max="6914" width="20.88671875" style="157" customWidth="1"/>
    <col min="6915" max="6926" width="7.5546875" style="157" bestFit="1" customWidth="1"/>
    <col min="6927" max="7168" width="9.109375" style="157"/>
    <col min="7169" max="7169" width="3.33203125" style="157" customWidth="1"/>
    <col min="7170" max="7170" width="20.88671875" style="157" customWidth="1"/>
    <col min="7171" max="7182" width="7.5546875" style="157" bestFit="1" customWidth="1"/>
    <col min="7183" max="7424" width="9.109375" style="157"/>
    <col min="7425" max="7425" width="3.33203125" style="157" customWidth="1"/>
    <col min="7426" max="7426" width="20.88671875" style="157" customWidth="1"/>
    <col min="7427" max="7438" width="7.5546875" style="157" bestFit="1" customWidth="1"/>
    <col min="7439" max="7680" width="9.109375" style="157"/>
    <col min="7681" max="7681" width="3.33203125" style="157" customWidth="1"/>
    <col min="7682" max="7682" width="20.88671875" style="157" customWidth="1"/>
    <col min="7683" max="7694" width="7.5546875" style="157" bestFit="1" customWidth="1"/>
    <col min="7695" max="7936" width="9.109375" style="157"/>
    <col min="7937" max="7937" width="3.33203125" style="157" customWidth="1"/>
    <col min="7938" max="7938" width="20.88671875" style="157" customWidth="1"/>
    <col min="7939" max="7950" width="7.5546875" style="157" bestFit="1" customWidth="1"/>
    <col min="7951" max="8192" width="9.109375" style="157"/>
    <col min="8193" max="8193" width="3.33203125" style="157" customWidth="1"/>
    <col min="8194" max="8194" width="20.88671875" style="157" customWidth="1"/>
    <col min="8195" max="8206" width="7.5546875" style="157" bestFit="1" customWidth="1"/>
    <col min="8207" max="8448" width="9.109375" style="157"/>
    <col min="8449" max="8449" width="3.33203125" style="157" customWidth="1"/>
    <col min="8450" max="8450" width="20.88671875" style="157" customWidth="1"/>
    <col min="8451" max="8462" width="7.5546875" style="157" bestFit="1" customWidth="1"/>
    <col min="8463" max="8704" width="9.109375" style="157"/>
    <col min="8705" max="8705" width="3.33203125" style="157" customWidth="1"/>
    <col min="8706" max="8706" width="20.88671875" style="157" customWidth="1"/>
    <col min="8707" max="8718" width="7.5546875" style="157" bestFit="1" customWidth="1"/>
    <col min="8719" max="8960" width="9.109375" style="157"/>
    <col min="8961" max="8961" width="3.33203125" style="157" customWidth="1"/>
    <col min="8962" max="8962" width="20.88671875" style="157" customWidth="1"/>
    <col min="8963" max="8974" width="7.5546875" style="157" bestFit="1" customWidth="1"/>
    <col min="8975" max="9216" width="9.109375" style="157"/>
    <col min="9217" max="9217" width="3.33203125" style="157" customWidth="1"/>
    <col min="9218" max="9218" width="20.88671875" style="157" customWidth="1"/>
    <col min="9219" max="9230" width="7.5546875" style="157" bestFit="1" customWidth="1"/>
    <col min="9231" max="9472" width="9.109375" style="157"/>
    <col min="9473" max="9473" width="3.33203125" style="157" customWidth="1"/>
    <col min="9474" max="9474" width="20.88671875" style="157" customWidth="1"/>
    <col min="9475" max="9486" width="7.5546875" style="157" bestFit="1" customWidth="1"/>
    <col min="9487" max="9728" width="9.109375" style="157"/>
    <col min="9729" max="9729" width="3.33203125" style="157" customWidth="1"/>
    <col min="9730" max="9730" width="20.88671875" style="157" customWidth="1"/>
    <col min="9731" max="9742" width="7.5546875" style="157" bestFit="1" customWidth="1"/>
    <col min="9743" max="9984" width="9.109375" style="157"/>
    <col min="9985" max="9985" width="3.33203125" style="157" customWidth="1"/>
    <col min="9986" max="9986" width="20.88671875" style="157" customWidth="1"/>
    <col min="9987" max="9998" width="7.5546875" style="157" bestFit="1" customWidth="1"/>
    <col min="9999" max="10240" width="9.109375" style="157"/>
    <col min="10241" max="10241" width="3.33203125" style="157" customWidth="1"/>
    <col min="10242" max="10242" width="20.88671875" style="157" customWidth="1"/>
    <col min="10243" max="10254" width="7.5546875" style="157" bestFit="1" customWidth="1"/>
    <col min="10255" max="10496" width="9.109375" style="157"/>
    <col min="10497" max="10497" width="3.33203125" style="157" customWidth="1"/>
    <col min="10498" max="10498" width="20.88671875" style="157" customWidth="1"/>
    <col min="10499" max="10510" width="7.5546875" style="157" bestFit="1" customWidth="1"/>
    <col min="10511" max="10752" width="9.109375" style="157"/>
    <col min="10753" max="10753" width="3.33203125" style="157" customWidth="1"/>
    <col min="10754" max="10754" width="20.88671875" style="157" customWidth="1"/>
    <col min="10755" max="10766" width="7.5546875" style="157" bestFit="1" customWidth="1"/>
    <col min="10767" max="11008" width="9.109375" style="157"/>
    <col min="11009" max="11009" width="3.33203125" style="157" customWidth="1"/>
    <col min="11010" max="11010" width="20.88671875" style="157" customWidth="1"/>
    <col min="11011" max="11022" width="7.5546875" style="157" bestFit="1" customWidth="1"/>
    <col min="11023" max="11264" width="9.109375" style="157"/>
    <col min="11265" max="11265" width="3.33203125" style="157" customWidth="1"/>
    <col min="11266" max="11266" width="20.88671875" style="157" customWidth="1"/>
    <col min="11267" max="11278" width="7.5546875" style="157" bestFit="1" customWidth="1"/>
    <col min="11279" max="11520" width="9.109375" style="157"/>
    <col min="11521" max="11521" width="3.33203125" style="157" customWidth="1"/>
    <col min="11522" max="11522" width="20.88671875" style="157" customWidth="1"/>
    <col min="11523" max="11534" width="7.5546875" style="157" bestFit="1" customWidth="1"/>
    <col min="11535" max="11776" width="9.109375" style="157"/>
    <col min="11777" max="11777" width="3.33203125" style="157" customWidth="1"/>
    <col min="11778" max="11778" width="20.88671875" style="157" customWidth="1"/>
    <col min="11779" max="11790" width="7.5546875" style="157" bestFit="1" customWidth="1"/>
    <col min="11791" max="12032" width="9.109375" style="157"/>
    <col min="12033" max="12033" width="3.33203125" style="157" customWidth="1"/>
    <col min="12034" max="12034" width="20.88671875" style="157" customWidth="1"/>
    <col min="12035" max="12046" width="7.5546875" style="157" bestFit="1" customWidth="1"/>
    <col min="12047" max="12288" width="9.109375" style="157"/>
    <col min="12289" max="12289" width="3.33203125" style="157" customWidth="1"/>
    <col min="12290" max="12290" width="20.88671875" style="157" customWidth="1"/>
    <col min="12291" max="12302" width="7.5546875" style="157" bestFit="1" customWidth="1"/>
    <col min="12303" max="12544" width="9.109375" style="157"/>
    <col min="12545" max="12545" width="3.33203125" style="157" customWidth="1"/>
    <col min="12546" max="12546" width="20.88671875" style="157" customWidth="1"/>
    <col min="12547" max="12558" width="7.5546875" style="157" bestFit="1" customWidth="1"/>
    <col min="12559" max="12800" width="9.109375" style="157"/>
    <col min="12801" max="12801" width="3.33203125" style="157" customWidth="1"/>
    <col min="12802" max="12802" width="20.88671875" style="157" customWidth="1"/>
    <col min="12803" max="12814" width="7.5546875" style="157" bestFit="1" customWidth="1"/>
    <col min="12815" max="13056" width="9.109375" style="157"/>
    <col min="13057" max="13057" width="3.33203125" style="157" customWidth="1"/>
    <col min="13058" max="13058" width="20.88671875" style="157" customWidth="1"/>
    <col min="13059" max="13070" width="7.5546875" style="157" bestFit="1" customWidth="1"/>
    <col min="13071" max="13312" width="9.109375" style="157"/>
    <col min="13313" max="13313" width="3.33203125" style="157" customWidth="1"/>
    <col min="13314" max="13314" width="20.88671875" style="157" customWidth="1"/>
    <col min="13315" max="13326" width="7.5546875" style="157" bestFit="1" customWidth="1"/>
    <col min="13327" max="13568" width="9.109375" style="157"/>
    <col min="13569" max="13569" width="3.33203125" style="157" customWidth="1"/>
    <col min="13570" max="13570" width="20.88671875" style="157" customWidth="1"/>
    <col min="13571" max="13582" width="7.5546875" style="157" bestFit="1" customWidth="1"/>
    <col min="13583" max="13824" width="9.109375" style="157"/>
    <col min="13825" max="13825" width="3.33203125" style="157" customWidth="1"/>
    <col min="13826" max="13826" width="20.88671875" style="157" customWidth="1"/>
    <col min="13827" max="13838" width="7.5546875" style="157" bestFit="1" customWidth="1"/>
    <col min="13839" max="14080" width="9.109375" style="157"/>
    <col min="14081" max="14081" width="3.33203125" style="157" customWidth="1"/>
    <col min="14082" max="14082" width="20.88671875" style="157" customWidth="1"/>
    <col min="14083" max="14094" width="7.5546875" style="157" bestFit="1" customWidth="1"/>
    <col min="14095" max="14336" width="9.109375" style="157"/>
    <col min="14337" max="14337" width="3.33203125" style="157" customWidth="1"/>
    <col min="14338" max="14338" width="20.88671875" style="157" customWidth="1"/>
    <col min="14339" max="14350" width="7.5546875" style="157" bestFit="1" customWidth="1"/>
    <col min="14351" max="14592" width="9.109375" style="157"/>
    <col min="14593" max="14593" width="3.33203125" style="157" customWidth="1"/>
    <col min="14594" max="14594" width="20.88671875" style="157" customWidth="1"/>
    <col min="14595" max="14606" width="7.5546875" style="157" bestFit="1" customWidth="1"/>
    <col min="14607" max="14848" width="9.109375" style="157"/>
    <col min="14849" max="14849" width="3.33203125" style="157" customWidth="1"/>
    <col min="14850" max="14850" width="20.88671875" style="157" customWidth="1"/>
    <col min="14851" max="14862" width="7.5546875" style="157" bestFit="1" customWidth="1"/>
    <col min="14863" max="15104" width="9.109375" style="157"/>
    <col min="15105" max="15105" width="3.33203125" style="157" customWidth="1"/>
    <col min="15106" max="15106" width="20.88671875" style="157" customWidth="1"/>
    <col min="15107" max="15118" width="7.5546875" style="157" bestFit="1" customWidth="1"/>
    <col min="15119" max="15360" width="9.109375" style="157"/>
    <col min="15361" max="15361" width="3.33203125" style="157" customWidth="1"/>
    <col min="15362" max="15362" width="20.88671875" style="157" customWidth="1"/>
    <col min="15363" max="15374" width="7.5546875" style="157" bestFit="1" customWidth="1"/>
    <col min="15375" max="15616" width="9.109375" style="157"/>
    <col min="15617" max="15617" width="3.33203125" style="157" customWidth="1"/>
    <col min="15618" max="15618" width="20.88671875" style="157" customWidth="1"/>
    <col min="15619" max="15630" width="7.5546875" style="157" bestFit="1" customWidth="1"/>
    <col min="15631" max="15872" width="9.109375" style="157"/>
    <col min="15873" max="15873" width="3.33203125" style="157" customWidth="1"/>
    <col min="15874" max="15874" width="20.88671875" style="157" customWidth="1"/>
    <col min="15875" max="15886" width="7.5546875" style="157" bestFit="1" customWidth="1"/>
    <col min="15887" max="16128" width="9.109375" style="157"/>
    <col min="16129" max="16129" width="3.33203125" style="157" customWidth="1"/>
    <col min="16130" max="16130" width="20.88671875" style="157" customWidth="1"/>
    <col min="16131" max="16142" width="7.5546875" style="157" bestFit="1" customWidth="1"/>
    <col min="16143" max="16384" width="9.109375" style="157"/>
  </cols>
  <sheetData>
    <row r="1" spans="1:62" ht="15.6" x14ac:dyDescent="0.3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</row>
    <row r="2" spans="1:62" x14ac:dyDescent="0.15">
      <c r="A2" s="449"/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62" ht="13.8" thickBot="1" x14ac:dyDescent="0.3">
      <c r="A3" s="450" t="s">
        <v>1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</row>
    <row r="4" spans="1:62" s="82" customFormat="1" ht="12" thickTop="1" x14ac:dyDescent="0.2">
      <c r="A4" s="458" t="s">
        <v>2</v>
      </c>
      <c r="B4" s="460" t="s">
        <v>3</v>
      </c>
      <c r="C4" s="453" t="s">
        <v>119</v>
      </c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4"/>
      <c r="O4" s="453" t="s">
        <v>120</v>
      </c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4"/>
      <c r="AA4" s="453" t="s">
        <v>121</v>
      </c>
      <c r="AB4" s="453"/>
      <c r="AC4" s="453"/>
      <c r="AD4" s="453"/>
      <c r="AE4" s="453"/>
      <c r="AF4" s="453"/>
      <c r="AG4" s="453"/>
      <c r="AH4" s="453"/>
      <c r="AI4" s="453"/>
      <c r="AJ4" s="453"/>
      <c r="AK4" s="453"/>
      <c r="AL4" s="454"/>
      <c r="AM4" s="453" t="s">
        <v>122</v>
      </c>
      <c r="AN4" s="453"/>
      <c r="AO4" s="453"/>
      <c r="AP4" s="453"/>
      <c r="AQ4" s="453"/>
      <c r="AR4" s="453"/>
      <c r="AS4" s="453"/>
      <c r="AT4" s="453"/>
      <c r="AU4" s="453"/>
      <c r="AV4" s="453"/>
      <c r="AW4" s="453"/>
      <c r="AX4" s="454"/>
      <c r="AY4" s="455" t="s">
        <v>123</v>
      </c>
      <c r="AZ4" s="455"/>
      <c r="BA4" s="455"/>
      <c r="BB4" s="455"/>
      <c r="BC4" s="455"/>
      <c r="BD4" s="455"/>
      <c r="BE4" s="455"/>
      <c r="BF4" s="455"/>
      <c r="BG4" s="455"/>
      <c r="BH4" s="455"/>
      <c r="BI4" s="455"/>
      <c r="BJ4" s="456"/>
    </row>
    <row r="5" spans="1:62" s="82" customFormat="1" ht="11.4" x14ac:dyDescent="0.2">
      <c r="A5" s="459"/>
      <c r="B5" s="461"/>
      <c r="C5" s="177" t="s">
        <v>5</v>
      </c>
      <c r="D5" s="177" t="s">
        <v>6</v>
      </c>
      <c r="E5" s="177" t="s">
        <v>7</v>
      </c>
      <c r="F5" s="177" t="s">
        <v>8</v>
      </c>
      <c r="G5" s="177" t="s">
        <v>9</v>
      </c>
      <c r="H5" s="177" t="s">
        <v>10</v>
      </c>
      <c r="I5" s="177" t="s">
        <v>11</v>
      </c>
      <c r="J5" s="177" t="s">
        <v>12</v>
      </c>
      <c r="K5" s="177" t="s">
        <v>13</v>
      </c>
      <c r="L5" s="178" t="s">
        <v>14</v>
      </c>
      <c r="M5" s="178" t="s">
        <v>15</v>
      </c>
      <c r="N5" s="179" t="s">
        <v>16</v>
      </c>
      <c r="O5" s="177" t="s">
        <v>5</v>
      </c>
      <c r="P5" s="177" t="s">
        <v>6</v>
      </c>
      <c r="Q5" s="177" t="s">
        <v>7</v>
      </c>
      <c r="R5" s="177" t="s">
        <v>8</v>
      </c>
      <c r="S5" s="177" t="s">
        <v>9</v>
      </c>
      <c r="T5" s="177" t="s">
        <v>10</v>
      </c>
      <c r="U5" s="177" t="s">
        <v>11</v>
      </c>
      <c r="V5" s="177" t="s">
        <v>12</v>
      </c>
      <c r="W5" s="177" t="s">
        <v>13</v>
      </c>
      <c r="X5" s="178" t="s">
        <v>14</v>
      </c>
      <c r="Y5" s="178" t="s">
        <v>15</v>
      </c>
      <c r="Z5" s="179" t="s">
        <v>16</v>
      </c>
      <c r="AA5" s="177" t="s">
        <v>5</v>
      </c>
      <c r="AB5" s="177" t="s">
        <v>6</v>
      </c>
      <c r="AC5" s="177" t="s">
        <v>7</v>
      </c>
      <c r="AD5" s="177" t="s">
        <v>8</v>
      </c>
      <c r="AE5" s="177" t="s">
        <v>9</v>
      </c>
      <c r="AF5" s="177" t="s">
        <v>10</v>
      </c>
      <c r="AG5" s="177" t="s">
        <v>11</v>
      </c>
      <c r="AH5" s="177" t="s">
        <v>12</v>
      </c>
      <c r="AI5" s="177" t="s">
        <v>13</v>
      </c>
      <c r="AJ5" s="178" t="s">
        <v>14</v>
      </c>
      <c r="AK5" s="178" t="s">
        <v>15</v>
      </c>
      <c r="AL5" s="179" t="s">
        <v>16</v>
      </c>
      <c r="AM5" s="177" t="s">
        <v>5</v>
      </c>
      <c r="AN5" s="177" t="s">
        <v>6</v>
      </c>
      <c r="AO5" s="177" t="s">
        <v>7</v>
      </c>
      <c r="AP5" s="177" t="s">
        <v>8</v>
      </c>
      <c r="AQ5" s="177" t="s">
        <v>9</v>
      </c>
      <c r="AR5" s="177" t="s">
        <v>10</v>
      </c>
      <c r="AS5" s="177" t="s">
        <v>11</v>
      </c>
      <c r="AT5" s="177" t="s">
        <v>12</v>
      </c>
      <c r="AU5" s="177" t="s">
        <v>13</v>
      </c>
      <c r="AV5" s="178" t="s">
        <v>14</v>
      </c>
      <c r="AW5" s="178" t="s">
        <v>15</v>
      </c>
      <c r="AX5" s="179" t="s">
        <v>16</v>
      </c>
      <c r="AY5" s="180" t="s">
        <v>5</v>
      </c>
      <c r="AZ5" s="180" t="s">
        <v>6</v>
      </c>
      <c r="BA5" s="180" t="s">
        <v>7</v>
      </c>
      <c r="BB5" s="180" t="s">
        <v>8</v>
      </c>
      <c r="BC5" s="180" t="s">
        <v>9</v>
      </c>
      <c r="BD5" s="180" t="s">
        <v>10</v>
      </c>
      <c r="BE5" s="180" t="s">
        <v>11</v>
      </c>
      <c r="BF5" s="180" t="s">
        <v>12</v>
      </c>
      <c r="BG5" s="180" t="s">
        <v>13</v>
      </c>
      <c r="BH5" s="181" t="s">
        <v>14</v>
      </c>
      <c r="BI5" s="181" t="s">
        <v>15</v>
      </c>
      <c r="BJ5" s="182" t="s">
        <v>16</v>
      </c>
    </row>
    <row r="6" spans="1:62" s="82" customFormat="1" ht="11.4" x14ac:dyDescent="0.2">
      <c r="A6" s="183">
        <v>1</v>
      </c>
      <c r="B6" s="184" t="s">
        <v>111</v>
      </c>
      <c r="C6" s="185">
        <v>62980.281999999999</v>
      </c>
      <c r="D6" s="185">
        <v>62970.281999999999</v>
      </c>
      <c r="E6" s="185">
        <v>62970.281999999999</v>
      </c>
      <c r="F6" s="185">
        <v>65450.281999999999</v>
      </c>
      <c r="G6" s="185">
        <v>65450.281999999999</v>
      </c>
      <c r="H6" s="185">
        <v>65450.3</v>
      </c>
      <c r="I6" s="185">
        <v>66450.282000000007</v>
      </c>
      <c r="J6" s="185">
        <v>69701.282000000007</v>
      </c>
      <c r="K6" s="185">
        <v>70431.282000000007</v>
      </c>
      <c r="L6" s="185">
        <v>70374.248000000007</v>
      </c>
      <c r="M6" s="185">
        <v>66639.8</v>
      </c>
      <c r="N6" s="186">
        <v>74445.343999999997</v>
      </c>
      <c r="O6" s="185">
        <v>74445.34</v>
      </c>
      <c r="P6" s="185">
        <v>75445.343999999997</v>
      </c>
      <c r="Q6" s="185">
        <v>76320.343999999997</v>
      </c>
      <c r="R6" s="185">
        <v>78318.024999999994</v>
      </c>
      <c r="S6" s="185">
        <v>78318.024999999994</v>
      </c>
      <c r="T6" s="185">
        <v>79443.025999999998</v>
      </c>
      <c r="U6" s="185">
        <v>80443.025999999998</v>
      </c>
      <c r="V6" s="185">
        <v>80443.025999999998</v>
      </c>
      <c r="W6" s="185">
        <v>82568.025999999998</v>
      </c>
      <c r="X6" s="185">
        <v>82568.025999999998</v>
      </c>
      <c r="Y6" s="185">
        <v>80658.025999999998</v>
      </c>
      <c r="Z6" s="186">
        <v>85033.025999999998</v>
      </c>
      <c r="AA6" s="185">
        <v>85033.025999999998</v>
      </c>
      <c r="AB6" s="185">
        <v>84333.025999999998</v>
      </c>
      <c r="AC6" s="185">
        <v>82189.017000000007</v>
      </c>
      <c r="AD6" s="185">
        <v>82189.017000000022</v>
      </c>
      <c r="AE6" s="185">
        <v>82189.017000000022</v>
      </c>
      <c r="AF6" s="185">
        <v>86609.017000000007</v>
      </c>
      <c r="AG6" s="185">
        <v>86609.017699999997</v>
      </c>
      <c r="AH6" s="185">
        <v>86609.017000000007</v>
      </c>
      <c r="AI6" s="185">
        <v>86609.017000000007</v>
      </c>
      <c r="AJ6" s="185">
        <v>86015.074999999997</v>
      </c>
      <c r="AK6" s="185">
        <v>86015.075700000001</v>
      </c>
      <c r="AL6" s="186">
        <v>86515.076000000001</v>
      </c>
      <c r="AM6" s="187">
        <v>86515.076000000001</v>
      </c>
      <c r="AN6" s="187">
        <v>86515.076000000001</v>
      </c>
      <c r="AO6" s="187">
        <v>86515.076000000001</v>
      </c>
      <c r="AP6" s="187">
        <v>86515.076000000001</v>
      </c>
      <c r="AQ6" s="187">
        <v>86515.076000000001</v>
      </c>
      <c r="AR6" s="187">
        <v>86775.076000000001</v>
      </c>
      <c r="AS6" s="187">
        <v>85275.07699999999</v>
      </c>
      <c r="AT6" s="187">
        <v>82373.876000000018</v>
      </c>
      <c r="AU6" s="187">
        <v>82373.875999999989</v>
      </c>
      <c r="AV6" s="187">
        <v>82373.876000000004</v>
      </c>
      <c r="AW6" s="187">
        <v>89793.876000000004</v>
      </c>
      <c r="AX6" s="188">
        <v>102043.72599999998</v>
      </c>
      <c r="AY6" s="189">
        <v>102043.7</v>
      </c>
      <c r="AZ6" s="189">
        <v>102043.726</v>
      </c>
      <c r="BA6" s="189">
        <v>102043.72600000001</v>
      </c>
      <c r="BB6" s="189">
        <v>102043.726</v>
      </c>
      <c r="BC6" s="189">
        <v>103543.726</v>
      </c>
      <c r="BD6" s="189">
        <v>103543.726</v>
      </c>
      <c r="BE6" s="189">
        <v>98268.286999999997</v>
      </c>
      <c r="BF6" s="189">
        <v>98268.286999999997</v>
      </c>
      <c r="BG6" s="189">
        <v>98268.286999999997</v>
      </c>
      <c r="BH6" s="189">
        <v>109354.083</v>
      </c>
      <c r="BI6" s="189">
        <v>112604.083</v>
      </c>
      <c r="BJ6" s="190">
        <v>120340.683</v>
      </c>
    </row>
    <row r="7" spans="1:62" s="82" customFormat="1" ht="12" x14ac:dyDescent="0.2">
      <c r="A7" s="191"/>
      <c r="B7" s="192" t="s">
        <v>18</v>
      </c>
      <c r="C7" s="193">
        <v>60855.106999999996</v>
      </c>
      <c r="D7" s="193">
        <v>60845.106999999996</v>
      </c>
      <c r="E7" s="193">
        <v>60768.606999999996</v>
      </c>
      <c r="F7" s="193">
        <v>63108.606999999996</v>
      </c>
      <c r="G7" s="193">
        <v>63098.606999999996</v>
      </c>
      <c r="H7" s="193">
        <v>62855.1</v>
      </c>
      <c r="I7" s="193">
        <v>63795.107000000004</v>
      </c>
      <c r="J7" s="193">
        <v>67239.282000000007</v>
      </c>
      <c r="K7" s="193">
        <v>67685.282000000007</v>
      </c>
      <c r="L7" s="193">
        <v>67708.248000000007</v>
      </c>
      <c r="M7" s="193">
        <v>63865.3</v>
      </c>
      <c r="N7" s="194">
        <v>72380.343999999997</v>
      </c>
      <c r="O7" s="193">
        <v>72380.34</v>
      </c>
      <c r="P7" s="193">
        <v>73380.343999999997</v>
      </c>
      <c r="Q7" s="193">
        <v>74170.343999999997</v>
      </c>
      <c r="R7" s="193">
        <v>76198.024999999994</v>
      </c>
      <c r="S7" s="193">
        <v>76198.024999999994</v>
      </c>
      <c r="T7" s="193">
        <v>77633.025999999998</v>
      </c>
      <c r="U7" s="193">
        <v>78435.525999999998</v>
      </c>
      <c r="V7" s="193">
        <v>78257.350999999995</v>
      </c>
      <c r="W7" s="193">
        <v>80672.350999999995</v>
      </c>
      <c r="X7" s="193">
        <v>80312.451000000001</v>
      </c>
      <c r="Y7" s="193">
        <v>78485.451000000001</v>
      </c>
      <c r="Z7" s="194">
        <v>82545.350999999995</v>
      </c>
      <c r="AA7" s="193">
        <v>82690.350999999995</v>
      </c>
      <c r="AB7" s="193">
        <v>81922.350999999995</v>
      </c>
      <c r="AC7" s="193">
        <v>79646.842000000004</v>
      </c>
      <c r="AD7" s="193">
        <v>79769.542000000016</v>
      </c>
      <c r="AE7" s="193">
        <v>79769.542000000016</v>
      </c>
      <c r="AF7" s="193">
        <v>83749.542000000001</v>
      </c>
      <c r="AG7" s="193">
        <v>83749.242700000003</v>
      </c>
      <c r="AH7" s="193">
        <v>83692.342000000004</v>
      </c>
      <c r="AI7" s="193">
        <v>83577.342000000004</v>
      </c>
      <c r="AJ7" s="193">
        <v>83056.399999999994</v>
      </c>
      <c r="AK7" s="193">
        <v>82782.900699999998</v>
      </c>
      <c r="AL7" s="194">
        <v>83603.418999999994</v>
      </c>
      <c r="AM7" s="195">
        <v>83603.376000000004</v>
      </c>
      <c r="AN7" s="195">
        <v>83952.876000000004</v>
      </c>
      <c r="AO7" s="195">
        <v>84519.376000000004</v>
      </c>
      <c r="AP7" s="195">
        <v>84408.400999999998</v>
      </c>
      <c r="AQ7" s="195">
        <v>83879.900999999998</v>
      </c>
      <c r="AR7" s="195">
        <v>82310.051000000007</v>
      </c>
      <c r="AS7" s="195">
        <v>80656.051999999996</v>
      </c>
      <c r="AT7" s="195">
        <v>78205.026000000013</v>
      </c>
      <c r="AU7" s="195">
        <v>78221.975999999995</v>
      </c>
      <c r="AV7" s="195">
        <v>78381.376000000004</v>
      </c>
      <c r="AW7" s="195">
        <v>86113.376000000004</v>
      </c>
      <c r="AX7" s="196">
        <v>98586.925999999978</v>
      </c>
      <c r="AY7" s="197">
        <v>98518.5</v>
      </c>
      <c r="AZ7" s="197">
        <v>97814.875999999989</v>
      </c>
      <c r="BA7" s="197">
        <v>96942.776000000013</v>
      </c>
      <c r="BB7" s="197">
        <v>97046.875999999989</v>
      </c>
      <c r="BC7" s="197">
        <v>98047.875999999989</v>
      </c>
      <c r="BD7" s="197">
        <v>99161.326000000001</v>
      </c>
      <c r="BE7" s="197">
        <v>93713.887000000002</v>
      </c>
      <c r="BF7" s="197">
        <v>93770.187000000005</v>
      </c>
      <c r="BG7" s="197">
        <v>92697.887000000002</v>
      </c>
      <c r="BH7" s="197">
        <v>104061.98300000001</v>
      </c>
      <c r="BI7" s="197">
        <v>106156.48300000001</v>
      </c>
      <c r="BJ7" s="198">
        <v>114640.03300000001</v>
      </c>
    </row>
    <row r="8" spans="1:62" s="89" customFormat="1" ht="12" x14ac:dyDescent="0.2">
      <c r="A8" s="199"/>
      <c r="B8" s="200" t="s">
        <v>19</v>
      </c>
      <c r="C8" s="161">
        <v>7869.2820000000002</v>
      </c>
      <c r="D8" s="161">
        <v>6619.2820000000002</v>
      </c>
      <c r="E8" s="161">
        <v>13889.281999999999</v>
      </c>
      <c r="F8" s="161">
        <v>13889.281999999999</v>
      </c>
      <c r="G8" s="161">
        <v>11269.281999999999</v>
      </c>
      <c r="H8" s="161">
        <v>13759.3</v>
      </c>
      <c r="I8" s="161">
        <v>13659.281999999999</v>
      </c>
      <c r="J8" s="161">
        <v>18330.281999999999</v>
      </c>
      <c r="K8" s="161">
        <v>17857.781999999999</v>
      </c>
      <c r="L8" s="161">
        <v>18670.748</v>
      </c>
      <c r="M8" s="161">
        <v>12213.3</v>
      </c>
      <c r="N8" s="162">
        <v>13768.843999999999</v>
      </c>
      <c r="O8" s="161">
        <v>15918.84</v>
      </c>
      <c r="P8" s="161">
        <v>15918.843999999999</v>
      </c>
      <c r="Q8" s="161">
        <v>20218.844000000001</v>
      </c>
      <c r="R8" s="161">
        <v>19766.525000000001</v>
      </c>
      <c r="S8" s="161">
        <v>19056.525000000001</v>
      </c>
      <c r="T8" s="161">
        <v>20686.526000000002</v>
      </c>
      <c r="U8" s="161">
        <v>21836.526000000002</v>
      </c>
      <c r="V8" s="161">
        <v>24956.526000000002</v>
      </c>
      <c r="W8" s="161">
        <v>26239.026000000002</v>
      </c>
      <c r="X8" s="161">
        <v>25379.026000000002</v>
      </c>
      <c r="Y8" s="161">
        <v>21499.026000000002</v>
      </c>
      <c r="Z8" s="162">
        <v>17579.026000000002</v>
      </c>
      <c r="AA8" s="161">
        <v>17849.026000000002</v>
      </c>
      <c r="AB8" s="161">
        <v>21219.026000000002</v>
      </c>
      <c r="AC8" s="161">
        <v>20685.017</v>
      </c>
      <c r="AD8" s="161">
        <v>20685.017</v>
      </c>
      <c r="AE8" s="161">
        <v>18575.017</v>
      </c>
      <c r="AF8" s="161">
        <v>18245.017</v>
      </c>
      <c r="AG8" s="161">
        <v>21875.017</v>
      </c>
      <c r="AH8" s="161">
        <v>21855.017</v>
      </c>
      <c r="AI8" s="161">
        <v>21812.517</v>
      </c>
      <c r="AJ8" s="161">
        <v>22818.75</v>
      </c>
      <c r="AK8" s="161">
        <v>22768.575000000001</v>
      </c>
      <c r="AL8" s="162">
        <v>22548.576000000001</v>
      </c>
      <c r="AM8" s="201">
        <v>14968.575999999999</v>
      </c>
      <c r="AN8" s="201">
        <v>14968.575999999999</v>
      </c>
      <c r="AO8" s="201">
        <v>20408.576000000001</v>
      </c>
      <c r="AP8" s="201">
        <v>22408.576000000001</v>
      </c>
      <c r="AQ8" s="201">
        <v>23439.576000000001</v>
      </c>
      <c r="AR8" s="201">
        <v>29188.901000000002</v>
      </c>
      <c r="AS8" s="201">
        <v>28443.201000000001</v>
      </c>
      <c r="AT8" s="201">
        <v>26399.675999999999</v>
      </c>
      <c r="AU8" s="201">
        <v>26400.576000000001</v>
      </c>
      <c r="AV8" s="201">
        <v>26400.576000000001</v>
      </c>
      <c r="AW8" s="201">
        <v>26400.576000000001</v>
      </c>
      <c r="AX8" s="202">
        <v>30477.425999999999</v>
      </c>
      <c r="AY8" s="203">
        <v>29303.4</v>
      </c>
      <c r="AZ8" s="203">
        <v>29501.425999999999</v>
      </c>
      <c r="BA8" s="203">
        <v>27154.925999999999</v>
      </c>
      <c r="BB8" s="203">
        <v>29064.925999999999</v>
      </c>
      <c r="BC8" s="203">
        <v>28866.925999999999</v>
      </c>
      <c r="BD8" s="203">
        <v>32971.525999999998</v>
      </c>
      <c r="BE8" s="203">
        <v>28543.587</v>
      </c>
      <c r="BF8" s="203">
        <v>27678.587</v>
      </c>
      <c r="BG8" s="203">
        <v>26028.087</v>
      </c>
      <c r="BH8" s="203">
        <v>34253.883000000002</v>
      </c>
      <c r="BI8" s="203">
        <v>34108.883000000002</v>
      </c>
      <c r="BJ8" s="204">
        <v>28178.933000000001</v>
      </c>
    </row>
    <row r="9" spans="1:62" s="89" customFormat="1" ht="12" x14ac:dyDescent="0.2">
      <c r="A9" s="199"/>
      <c r="B9" s="200" t="s">
        <v>23</v>
      </c>
      <c r="C9" s="161">
        <v>52975.824999999997</v>
      </c>
      <c r="D9" s="161">
        <v>54225.824999999997</v>
      </c>
      <c r="E9" s="161">
        <v>46879.324999999997</v>
      </c>
      <c r="F9" s="161">
        <v>49219.324999999997</v>
      </c>
      <c r="G9" s="161">
        <v>51829.324999999997</v>
      </c>
      <c r="H9" s="161">
        <v>49095.8</v>
      </c>
      <c r="I9" s="161">
        <v>50135.825000000004</v>
      </c>
      <c r="J9" s="161">
        <v>48909</v>
      </c>
      <c r="K9" s="161">
        <v>49827.5</v>
      </c>
      <c r="L9" s="161">
        <v>49037.5</v>
      </c>
      <c r="M9" s="161">
        <v>51652</v>
      </c>
      <c r="N9" s="162">
        <v>58611.5</v>
      </c>
      <c r="O9" s="161">
        <v>56461.5</v>
      </c>
      <c r="P9" s="161">
        <v>57461.5</v>
      </c>
      <c r="Q9" s="161">
        <v>53951.5</v>
      </c>
      <c r="R9" s="161">
        <v>56431.5</v>
      </c>
      <c r="S9" s="161">
        <v>57141.5</v>
      </c>
      <c r="T9" s="161">
        <v>56946.5</v>
      </c>
      <c r="U9" s="161">
        <v>56599</v>
      </c>
      <c r="V9" s="161">
        <v>53300.824999999997</v>
      </c>
      <c r="W9" s="161">
        <v>54433.324999999997</v>
      </c>
      <c r="X9" s="161">
        <v>54933.425000000003</v>
      </c>
      <c r="Y9" s="161">
        <v>56986.425000000003</v>
      </c>
      <c r="Z9" s="162">
        <v>64966.324999999997</v>
      </c>
      <c r="AA9" s="161">
        <v>64841.324999999997</v>
      </c>
      <c r="AB9" s="161">
        <v>60703.324999999997</v>
      </c>
      <c r="AC9" s="161">
        <v>58961.825000000004</v>
      </c>
      <c r="AD9" s="161">
        <v>59084.525000000009</v>
      </c>
      <c r="AE9" s="161">
        <v>61194.525000000009</v>
      </c>
      <c r="AF9" s="161">
        <v>65504.525000000001</v>
      </c>
      <c r="AG9" s="161">
        <v>61874.225699999995</v>
      </c>
      <c r="AH9" s="161">
        <v>61837.325000000004</v>
      </c>
      <c r="AI9" s="161">
        <v>61764.825000000004</v>
      </c>
      <c r="AJ9" s="161">
        <v>60237.65</v>
      </c>
      <c r="AK9" s="161">
        <v>60014.325700000001</v>
      </c>
      <c r="AL9" s="162">
        <v>61054.843000000001</v>
      </c>
      <c r="AM9" s="201">
        <v>68634.8</v>
      </c>
      <c r="AN9" s="201">
        <v>68984.3</v>
      </c>
      <c r="AO9" s="201">
        <v>64110.8</v>
      </c>
      <c r="AP9" s="201">
        <v>61999.824999999997</v>
      </c>
      <c r="AQ9" s="201">
        <v>60440.324999999997</v>
      </c>
      <c r="AR9" s="201">
        <v>53121.15</v>
      </c>
      <c r="AS9" s="201">
        <v>52212.851000000002</v>
      </c>
      <c r="AT9" s="201">
        <v>51805.35</v>
      </c>
      <c r="AU9" s="201">
        <v>51821.4</v>
      </c>
      <c r="AV9" s="201">
        <v>51980.800000000003</v>
      </c>
      <c r="AW9" s="201">
        <v>59712.800000000003</v>
      </c>
      <c r="AX9" s="202">
        <v>68109.5</v>
      </c>
      <c r="AY9" s="203">
        <v>69215.100000000006</v>
      </c>
      <c r="AZ9" s="203">
        <v>68313.45</v>
      </c>
      <c r="BA9" s="203">
        <v>69787.850000000006</v>
      </c>
      <c r="BB9" s="203">
        <v>67981.95</v>
      </c>
      <c r="BC9" s="203">
        <v>69180.95</v>
      </c>
      <c r="BD9" s="203">
        <v>66189.8</v>
      </c>
      <c r="BE9" s="203">
        <v>65170.3</v>
      </c>
      <c r="BF9" s="203">
        <v>66091.600000000006</v>
      </c>
      <c r="BG9" s="203">
        <v>66669.8</v>
      </c>
      <c r="BH9" s="203">
        <v>69808.100000000006</v>
      </c>
      <c r="BI9" s="203">
        <v>72047.600000000006</v>
      </c>
      <c r="BJ9" s="204">
        <v>86461.1</v>
      </c>
    </row>
    <row r="10" spans="1:62" s="82" customFormat="1" ht="12" x14ac:dyDescent="0.2">
      <c r="A10" s="191"/>
      <c r="B10" s="192" t="s">
        <v>24</v>
      </c>
      <c r="C10" s="163">
        <v>2125.1750000000002</v>
      </c>
      <c r="D10" s="163">
        <v>2125.1750000000002</v>
      </c>
      <c r="E10" s="163">
        <v>2201.6750000000002</v>
      </c>
      <c r="F10" s="163">
        <v>2341.6750000000002</v>
      </c>
      <c r="G10" s="163">
        <v>2351.6750000000002</v>
      </c>
      <c r="H10" s="163">
        <v>2595.1999999999998</v>
      </c>
      <c r="I10" s="163">
        <v>2655.1750000000002</v>
      </c>
      <c r="J10" s="163">
        <v>2462</v>
      </c>
      <c r="K10" s="163">
        <v>2746</v>
      </c>
      <c r="L10" s="163">
        <v>2666</v>
      </c>
      <c r="M10" s="163">
        <v>2774.5</v>
      </c>
      <c r="N10" s="164">
        <v>2065</v>
      </c>
      <c r="O10" s="163">
        <v>2065</v>
      </c>
      <c r="P10" s="163">
        <v>2065</v>
      </c>
      <c r="Q10" s="163">
        <v>2150</v>
      </c>
      <c r="R10" s="163">
        <v>2120</v>
      </c>
      <c r="S10" s="163">
        <v>2120</v>
      </c>
      <c r="T10" s="163">
        <v>1810</v>
      </c>
      <c r="U10" s="163">
        <v>2007.5</v>
      </c>
      <c r="V10" s="163">
        <v>2185.6750000000002</v>
      </c>
      <c r="W10" s="163">
        <v>1895.675</v>
      </c>
      <c r="X10" s="163">
        <v>2255.5749999999998</v>
      </c>
      <c r="Y10" s="163">
        <v>2172.5749999999998</v>
      </c>
      <c r="Z10" s="164">
        <v>2487.6750000000002</v>
      </c>
      <c r="AA10" s="163">
        <v>2342.6750000000002</v>
      </c>
      <c r="AB10" s="163">
        <v>2410.6750000000002</v>
      </c>
      <c r="AC10" s="163">
        <v>2542.1750000000002</v>
      </c>
      <c r="AD10" s="163">
        <v>2419.4749999999999</v>
      </c>
      <c r="AE10" s="163">
        <v>2419.4749999999999</v>
      </c>
      <c r="AF10" s="163">
        <v>2859.4749999999999</v>
      </c>
      <c r="AG10" s="163">
        <v>2859.7750000000001</v>
      </c>
      <c r="AH10" s="163">
        <v>2916.6750000000002</v>
      </c>
      <c r="AI10" s="163">
        <v>3031.6750000000002</v>
      </c>
      <c r="AJ10" s="163">
        <v>2958.6750000000002</v>
      </c>
      <c r="AK10" s="163">
        <v>3232.1750000000002</v>
      </c>
      <c r="AL10" s="164">
        <v>2911.6570000000002</v>
      </c>
      <c r="AM10" s="205">
        <v>2911.7</v>
      </c>
      <c r="AN10" s="205">
        <v>2562.1999999999998</v>
      </c>
      <c r="AO10" s="205">
        <v>1995.7</v>
      </c>
      <c r="AP10" s="205">
        <v>2106.6750000000002</v>
      </c>
      <c r="AQ10" s="205">
        <v>2635.1750000000002</v>
      </c>
      <c r="AR10" s="205">
        <v>4465.0249999999996</v>
      </c>
      <c r="AS10" s="205">
        <v>4619.0249999999996</v>
      </c>
      <c r="AT10" s="205">
        <v>4168.8500000000004</v>
      </c>
      <c r="AU10" s="205">
        <v>4151.8999999999996</v>
      </c>
      <c r="AV10" s="205">
        <v>3992.5</v>
      </c>
      <c r="AW10" s="205">
        <v>3680.5</v>
      </c>
      <c r="AX10" s="206">
        <v>3456.8</v>
      </c>
      <c r="AY10" s="207">
        <v>3525.1999999999825</v>
      </c>
      <c r="AZ10" s="207">
        <v>4228.8500000000004</v>
      </c>
      <c r="BA10" s="207">
        <v>5100.95</v>
      </c>
      <c r="BB10" s="207">
        <v>4996.8500000000004</v>
      </c>
      <c r="BC10" s="207">
        <v>5495.85</v>
      </c>
      <c r="BD10" s="207">
        <v>4382.3999999999996</v>
      </c>
      <c r="BE10" s="207">
        <v>4554.3999999999942</v>
      </c>
      <c r="BF10" s="207">
        <v>4498.0999999999913</v>
      </c>
      <c r="BG10" s="207">
        <v>5570.3999999999942</v>
      </c>
      <c r="BH10" s="207">
        <v>5292.0999999999913</v>
      </c>
      <c r="BI10" s="207">
        <v>6447.5999999999913</v>
      </c>
      <c r="BJ10" s="208">
        <v>5700.65</v>
      </c>
    </row>
    <row r="11" spans="1:62" s="82" customFormat="1" ht="11.4" x14ac:dyDescent="0.2">
      <c r="A11" s="199"/>
      <c r="B11" s="200" t="s">
        <v>25</v>
      </c>
      <c r="C11" s="163">
        <v>500</v>
      </c>
      <c r="D11" s="163">
        <v>700</v>
      </c>
      <c r="E11" s="163">
        <v>320.7</v>
      </c>
      <c r="F11" s="163">
        <v>420.7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4">
        <v>0</v>
      </c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4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4"/>
      <c r="AM11" s="209">
        <v>29478.5</v>
      </c>
      <c r="AN11" s="209">
        <v>29478.5</v>
      </c>
      <c r="AO11" s="209">
        <v>29478.5</v>
      </c>
      <c r="AP11" s="209">
        <v>29478.5</v>
      </c>
      <c r="AQ11" s="209">
        <v>29478.5</v>
      </c>
      <c r="AR11" s="209">
        <v>29478.5</v>
      </c>
      <c r="AS11" s="209">
        <v>30978.5</v>
      </c>
      <c r="AT11" s="209">
        <v>30978.5</v>
      </c>
      <c r="AU11" s="209">
        <v>30978.5</v>
      </c>
      <c r="AV11" s="209">
        <v>30978.5</v>
      </c>
      <c r="AW11" s="209">
        <v>32028.5</v>
      </c>
      <c r="AX11" s="188">
        <v>35519.4</v>
      </c>
      <c r="AY11" s="210">
        <v>35519.4</v>
      </c>
      <c r="AZ11" s="210">
        <v>35519.4</v>
      </c>
      <c r="BA11" s="210">
        <v>35519.4</v>
      </c>
      <c r="BB11" s="210">
        <v>35519.4</v>
      </c>
      <c r="BC11" s="210">
        <v>35519.4</v>
      </c>
      <c r="BD11" s="210">
        <v>38519.4</v>
      </c>
      <c r="BE11" s="210">
        <v>38519.4</v>
      </c>
      <c r="BF11" s="210">
        <v>38519.4</v>
      </c>
      <c r="BG11" s="210">
        <v>38519.4</v>
      </c>
      <c r="BH11" s="210">
        <v>38519.4</v>
      </c>
      <c r="BI11" s="210">
        <v>43519.4</v>
      </c>
      <c r="BJ11" s="190">
        <v>43519.4</v>
      </c>
    </row>
    <row r="12" spans="1:62" s="82" customFormat="1" ht="12" x14ac:dyDescent="0.2">
      <c r="A12" s="183">
        <v>2</v>
      </c>
      <c r="B12" s="184" t="s">
        <v>112</v>
      </c>
      <c r="C12" s="185">
        <v>17959.214</v>
      </c>
      <c r="D12" s="185">
        <v>17959.214</v>
      </c>
      <c r="E12" s="185">
        <v>17959.214</v>
      </c>
      <c r="F12" s="185">
        <v>17959.214</v>
      </c>
      <c r="G12" s="185">
        <v>19159.214</v>
      </c>
      <c r="H12" s="185">
        <v>18077.120999999999</v>
      </c>
      <c r="I12" s="185">
        <v>18077.120999999999</v>
      </c>
      <c r="J12" s="185">
        <v>19177.120999999999</v>
      </c>
      <c r="K12" s="185">
        <v>19177.120999999999</v>
      </c>
      <c r="L12" s="185">
        <v>19177.120999999999</v>
      </c>
      <c r="M12" s="185">
        <v>18477.099999999999</v>
      </c>
      <c r="N12" s="186">
        <v>19177.120999999999</v>
      </c>
      <c r="O12" s="185">
        <v>19177.120999999999</v>
      </c>
      <c r="P12" s="185">
        <v>19177.120999999999</v>
      </c>
      <c r="Q12" s="185">
        <v>17177.120999999999</v>
      </c>
      <c r="R12" s="185">
        <v>18077.120999999996</v>
      </c>
      <c r="S12" s="185">
        <v>16565.433000000001</v>
      </c>
      <c r="T12" s="185">
        <v>18065.433000000001</v>
      </c>
      <c r="U12" s="185">
        <v>18065.433000000001</v>
      </c>
      <c r="V12" s="185">
        <v>18065.433000000001</v>
      </c>
      <c r="W12" s="185">
        <v>19565.432999999997</v>
      </c>
      <c r="X12" s="185">
        <v>19565.433000000001</v>
      </c>
      <c r="Y12" s="185">
        <v>19565.433000000001</v>
      </c>
      <c r="Z12" s="186">
        <v>21735.433000000001</v>
      </c>
      <c r="AA12" s="185">
        <v>21735.432999999997</v>
      </c>
      <c r="AB12" s="185">
        <v>21735.432999999997</v>
      </c>
      <c r="AC12" s="185">
        <v>21735.432999999997</v>
      </c>
      <c r="AD12" s="185">
        <v>21735.432999999997</v>
      </c>
      <c r="AE12" s="185">
        <v>21735.432999999997</v>
      </c>
      <c r="AF12" s="185">
        <v>23735.432999999997</v>
      </c>
      <c r="AG12" s="185">
        <v>23728.5</v>
      </c>
      <c r="AH12" s="185">
        <v>23728.5</v>
      </c>
      <c r="AI12" s="185">
        <v>23728.5</v>
      </c>
      <c r="AJ12" s="185">
        <v>23728.5</v>
      </c>
      <c r="AK12" s="185">
        <v>23728.5</v>
      </c>
      <c r="AL12" s="186">
        <v>29478.5</v>
      </c>
      <c r="AM12" s="205">
        <v>11039.55</v>
      </c>
      <c r="AN12" s="205">
        <v>11040.45</v>
      </c>
      <c r="AO12" s="205">
        <v>11040.45</v>
      </c>
      <c r="AP12" s="205">
        <v>11040.45</v>
      </c>
      <c r="AQ12" s="205">
        <v>11075.55</v>
      </c>
      <c r="AR12" s="205">
        <v>11077.25</v>
      </c>
      <c r="AS12" s="205">
        <v>11467.25</v>
      </c>
      <c r="AT12" s="205">
        <v>11467.35</v>
      </c>
      <c r="AU12" s="205">
        <v>11931.924999999999</v>
      </c>
      <c r="AV12" s="205">
        <v>11934.025</v>
      </c>
      <c r="AW12" s="205">
        <v>12387.724999999999</v>
      </c>
      <c r="AX12" s="206">
        <v>15037.724999999999</v>
      </c>
      <c r="AY12" s="207">
        <v>15038.8</v>
      </c>
      <c r="AZ12" s="207">
        <v>15047.1</v>
      </c>
      <c r="BA12" s="207">
        <v>15048.5</v>
      </c>
      <c r="BB12" s="207">
        <v>15048.5</v>
      </c>
      <c r="BC12" s="207">
        <v>15050.1</v>
      </c>
      <c r="BD12" s="207">
        <v>16720.5</v>
      </c>
      <c r="BE12" s="207">
        <v>16737</v>
      </c>
      <c r="BF12" s="207">
        <v>16737.825000000001</v>
      </c>
      <c r="BG12" s="207">
        <v>16737.825000000001</v>
      </c>
      <c r="BH12" s="207">
        <v>16737.825000000001</v>
      </c>
      <c r="BI12" s="207">
        <v>19670.325000000001</v>
      </c>
      <c r="BJ12" s="208">
        <v>19670.325000000001</v>
      </c>
    </row>
    <row r="13" spans="1:62" s="82" customFormat="1" ht="12" x14ac:dyDescent="0.2">
      <c r="A13" s="191"/>
      <c r="B13" s="192" t="s">
        <v>18</v>
      </c>
      <c r="C13" s="193">
        <v>7789.6460000000006</v>
      </c>
      <c r="D13" s="193">
        <v>7789.6460000000006</v>
      </c>
      <c r="E13" s="193">
        <v>7789.6460000000006</v>
      </c>
      <c r="F13" s="193">
        <v>7789.6460000000006</v>
      </c>
      <c r="G13" s="193">
        <v>8109.6460000000006</v>
      </c>
      <c r="H13" s="193">
        <v>8109.6220000000003</v>
      </c>
      <c r="I13" s="193">
        <v>8109.6460000000006</v>
      </c>
      <c r="J13" s="193">
        <v>7209.6509999999998</v>
      </c>
      <c r="K13" s="193">
        <v>7209.6509999999998</v>
      </c>
      <c r="L13" s="193">
        <v>8209.6460000000006</v>
      </c>
      <c r="M13" s="193">
        <v>8209.6239999999998</v>
      </c>
      <c r="N13" s="194">
        <v>7798.9220000000005</v>
      </c>
      <c r="O13" s="193">
        <v>7798.9459999999999</v>
      </c>
      <c r="P13" s="193">
        <v>7798.9459999999999</v>
      </c>
      <c r="Q13" s="193">
        <v>6231.9759999999997</v>
      </c>
      <c r="R13" s="193">
        <v>6618.7259999999997</v>
      </c>
      <c r="S13" s="193">
        <v>5100.0749999999998</v>
      </c>
      <c r="T13" s="193">
        <v>5521.1</v>
      </c>
      <c r="U13" s="193">
        <v>5521.1</v>
      </c>
      <c r="V13" s="193">
        <v>5516.55</v>
      </c>
      <c r="W13" s="193">
        <v>6251.2749999999996</v>
      </c>
      <c r="X13" s="193">
        <v>6252.125</v>
      </c>
      <c r="Y13" s="193">
        <v>6254.2249999999995</v>
      </c>
      <c r="Z13" s="194">
        <v>7313.183</v>
      </c>
      <c r="AA13" s="193">
        <v>7314.5829999999996</v>
      </c>
      <c r="AB13" s="193">
        <v>7315.5829999999996</v>
      </c>
      <c r="AC13" s="193">
        <v>7315.5829999999996</v>
      </c>
      <c r="AD13" s="193">
        <v>7315.5829999999996</v>
      </c>
      <c r="AE13" s="193">
        <v>7318.3829999999998</v>
      </c>
      <c r="AF13" s="193">
        <v>8265.0830000000005</v>
      </c>
      <c r="AG13" s="193">
        <v>8259.375</v>
      </c>
      <c r="AH13" s="193">
        <v>8260.7749999999996</v>
      </c>
      <c r="AI13" s="193">
        <v>8261.2749999999996</v>
      </c>
      <c r="AJ13" s="193">
        <v>8261.5750000000007</v>
      </c>
      <c r="AK13" s="193">
        <v>8261.5750000000007</v>
      </c>
      <c r="AL13" s="194">
        <v>11038.925000000001</v>
      </c>
      <c r="AM13" s="201">
        <v>302.85000000000002</v>
      </c>
      <c r="AN13" s="201">
        <v>303.75</v>
      </c>
      <c r="AO13" s="201">
        <v>303.75</v>
      </c>
      <c r="AP13" s="201">
        <v>303.75</v>
      </c>
      <c r="AQ13" s="201">
        <v>303.85000000000002</v>
      </c>
      <c r="AR13" s="201">
        <v>305.55</v>
      </c>
      <c r="AS13" s="201">
        <v>305.55</v>
      </c>
      <c r="AT13" s="201">
        <v>305.64999999999998</v>
      </c>
      <c r="AU13" s="201">
        <v>305.64999999999998</v>
      </c>
      <c r="AV13" s="201">
        <v>307.75</v>
      </c>
      <c r="AW13" s="201">
        <v>309.05</v>
      </c>
      <c r="AX13" s="202">
        <v>309.05</v>
      </c>
      <c r="AY13" s="203">
        <v>310.10000000000002</v>
      </c>
      <c r="AZ13" s="203">
        <v>318.42500000000001</v>
      </c>
      <c r="BA13" s="203">
        <v>319.82499999999999</v>
      </c>
      <c r="BB13" s="203">
        <v>319.82499999999999</v>
      </c>
      <c r="BC13" s="203">
        <v>321.42500000000001</v>
      </c>
      <c r="BD13" s="203">
        <v>326.82499999999999</v>
      </c>
      <c r="BE13" s="203">
        <v>343.32499999999999</v>
      </c>
      <c r="BF13" s="203">
        <v>344.15</v>
      </c>
      <c r="BG13" s="203">
        <v>344.15</v>
      </c>
      <c r="BH13" s="203">
        <v>345.15</v>
      </c>
      <c r="BI13" s="203">
        <v>348.15</v>
      </c>
      <c r="BJ13" s="204">
        <v>348.15</v>
      </c>
    </row>
    <row r="14" spans="1:62" s="89" customFormat="1" ht="12" x14ac:dyDescent="0.2">
      <c r="A14" s="199"/>
      <c r="B14" s="200" t="s">
        <v>124</v>
      </c>
      <c r="C14" s="161">
        <v>1518.6220000000001</v>
      </c>
      <c r="D14" s="161">
        <v>1518.6220000000001</v>
      </c>
      <c r="E14" s="161">
        <v>1518.6220000000001</v>
      </c>
      <c r="F14" s="161">
        <v>1518.6220000000001</v>
      </c>
      <c r="G14" s="161">
        <v>1518.6220000000001</v>
      </c>
      <c r="H14" s="161">
        <v>1518.6220000000001</v>
      </c>
      <c r="I14" s="161">
        <v>1518.6220000000001</v>
      </c>
      <c r="J14" s="161">
        <v>518.62699999999995</v>
      </c>
      <c r="K14" s="161">
        <v>518.62699999999995</v>
      </c>
      <c r="L14" s="161">
        <v>1518.6220000000001</v>
      </c>
      <c r="M14" s="161">
        <v>1518.6</v>
      </c>
      <c r="N14" s="162">
        <v>1518.6220000000001</v>
      </c>
      <c r="O14" s="161">
        <v>1518.6220000000001</v>
      </c>
      <c r="P14" s="161">
        <v>1518.6220000000001</v>
      </c>
      <c r="Q14" s="161">
        <v>1518.6510000000001</v>
      </c>
      <c r="R14" s="161">
        <v>1518.6510000000001</v>
      </c>
      <c r="S14" s="161">
        <v>0</v>
      </c>
      <c r="T14" s="161">
        <v>0</v>
      </c>
      <c r="U14" s="161">
        <v>0</v>
      </c>
      <c r="V14" s="161">
        <v>0</v>
      </c>
      <c r="W14" s="161">
        <v>4.5750000000000002</v>
      </c>
      <c r="X14" s="161">
        <v>5.4249999999999998</v>
      </c>
      <c r="Y14" s="161">
        <v>7.5250000000000057</v>
      </c>
      <c r="Z14" s="162">
        <v>296.483</v>
      </c>
      <c r="AA14" s="161">
        <v>297.88299999999998</v>
      </c>
      <c r="AB14" s="161">
        <v>298.88299999999998</v>
      </c>
      <c r="AC14" s="161">
        <v>298.88299999999998</v>
      </c>
      <c r="AD14" s="161">
        <v>298.88299999999998</v>
      </c>
      <c r="AE14" s="161">
        <v>301.68299999999999</v>
      </c>
      <c r="AF14" s="161">
        <v>303.38299999999998</v>
      </c>
      <c r="AG14" s="161">
        <v>297.67500000000001</v>
      </c>
      <c r="AH14" s="161">
        <v>299.07499999999999</v>
      </c>
      <c r="AI14" s="161">
        <v>299.57499999999999</v>
      </c>
      <c r="AJ14" s="161">
        <v>299.875</v>
      </c>
      <c r="AK14" s="161">
        <v>299.875</v>
      </c>
      <c r="AL14" s="162">
        <v>302.22500000000002</v>
      </c>
      <c r="AM14" s="211">
        <v>10736.7</v>
      </c>
      <c r="AN14" s="211">
        <v>10736.7</v>
      </c>
      <c r="AO14" s="211">
        <v>10736.7</v>
      </c>
      <c r="AP14" s="211">
        <v>10736.7</v>
      </c>
      <c r="AQ14" s="211">
        <v>10771.7</v>
      </c>
      <c r="AR14" s="211">
        <v>10771.7</v>
      </c>
      <c r="AS14" s="211">
        <v>11161.7</v>
      </c>
      <c r="AT14" s="211">
        <v>11161.7</v>
      </c>
      <c r="AU14" s="211">
        <v>11626.275</v>
      </c>
      <c r="AV14" s="211">
        <v>11626.275</v>
      </c>
      <c r="AW14" s="211">
        <v>12078.674999999999</v>
      </c>
      <c r="AX14" s="202">
        <v>14728.674999999999</v>
      </c>
      <c r="AY14" s="212">
        <v>14728.7</v>
      </c>
      <c r="AZ14" s="212">
        <v>14728.674999999999</v>
      </c>
      <c r="BA14" s="212">
        <v>14728.674999999999</v>
      </c>
      <c r="BB14" s="212">
        <v>14728.674999999999</v>
      </c>
      <c r="BC14" s="212">
        <v>14728.674999999999</v>
      </c>
      <c r="BD14" s="212">
        <v>16393.674999999999</v>
      </c>
      <c r="BE14" s="212">
        <v>16393.674999999999</v>
      </c>
      <c r="BF14" s="212">
        <v>16393.674999999999</v>
      </c>
      <c r="BG14" s="212">
        <v>16393.674999999999</v>
      </c>
      <c r="BH14" s="212">
        <v>16392.674999999999</v>
      </c>
      <c r="BI14" s="212">
        <v>19322.174999999999</v>
      </c>
      <c r="BJ14" s="204">
        <v>19322.174999999999</v>
      </c>
    </row>
    <row r="15" spans="1:62" s="89" customFormat="1" ht="12" x14ac:dyDescent="0.2">
      <c r="A15" s="199"/>
      <c r="B15" s="200" t="s">
        <v>23</v>
      </c>
      <c r="C15" s="161">
        <v>6271.0240000000003</v>
      </c>
      <c r="D15" s="161">
        <v>6271.0240000000003</v>
      </c>
      <c r="E15" s="161">
        <v>6271.0240000000003</v>
      </c>
      <c r="F15" s="161">
        <v>6271.0240000000003</v>
      </c>
      <c r="G15" s="161">
        <v>6591.0240000000003</v>
      </c>
      <c r="H15" s="161">
        <v>6591</v>
      </c>
      <c r="I15" s="161">
        <v>6591.0240000000003</v>
      </c>
      <c r="J15" s="161">
        <v>6691.0240000000003</v>
      </c>
      <c r="K15" s="161">
        <v>6691.0240000000003</v>
      </c>
      <c r="L15" s="161">
        <v>6691.0240000000003</v>
      </c>
      <c r="M15" s="161">
        <v>6691.0240000000003</v>
      </c>
      <c r="N15" s="162">
        <v>6280.3</v>
      </c>
      <c r="O15" s="161">
        <v>6280.3239999999996</v>
      </c>
      <c r="P15" s="161">
        <v>6280.3239999999996</v>
      </c>
      <c r="Q15" s="161">
        <v>4713.3249999999998</v>
      </c>
      <c r="R15" s="161">
        <v>5100.0749999999998</v>
      </c>
      <c r="S15" s="161">
        <v>5100.0749999999998</v>
      </c>
      <c r="T15" s="161">
        <v>5521.1</v>
      </c>
      <c r="U15" s="161">
        <v>5521.1</v>
      </c>
      <c r="V15" s="161">
        <v>5516.55</v>
      </c>
      <c r="W15" s="161">
        <v>6246.7</v>
      </c>
      <c r="X15" s="161">
        <v>6246.7</v>
      </c>
      <c r="Y15" s="161">
        <v>6246.7</v>
      </c>
      <c r="Z15" s="162">
        <v>7016.7</v>
      </c>
      <c r="AA15" s="161">
        <v>7016.7</v>
      </c>
      <c r="AB15" s="161">
        <v>7016.7</v>
      </c>
      <c r="AC15" s="161">
        <v>7016.7</v>
      </c>
      <c r="AD15" s="161">
        <v>7016.7</v>
      </c>
      <c r="AE15" s="161">
        <v>7016.7</v>
      </c>
      <c r="AF15" s="161">
        <v>7961.7</v>
      </c>
      <c r="AG15" s="161">
        <v>7961.7</v>
      </c>
      <c r="AH15" s="161">
        <v>7961.7</v>
      </c>
      <c r="AI15" s="161">
        <v>7961.7</v>
      </c>
      <c r="AJ15" s="161">
        <v>7961.7</v>
      </c>
      <c r="AK15" s="161">
        <v>7961.7</v>
      </c>
      <c r="AL15" s="162">
        <v>10736.7</v>
      </c>
      <c r="AM15" s="213">
        <v>18438.95</v>
      </c>
      <c r="AN15" s="213">
        <v>18438.05</v>
      </c>
      <c r="AO15" s="213">
        <v>18438.05</v>
      </c>
      <c r="AP15" s="213">
        <v>18438.05</v>
      </c>
      <c r="AQ15" s="213">
        <v>18402.95</v>
      </c>
      <c r="AR15" s="213">
        <v>18401.25</v>
      </c>
      <c r="AS15" s="213">
        <v>19511.25</v>
      </c>
      <c r="AT15" s="213">
        <v>19511.150000000001</v>
      </c>
      <c r="AU15" s="213">
        <v>19046.574999999997</v>
      </c>
      <c r="AV15" s="213">
        <v>19044.474999999999</v>
      </c>
      <c r="AW15" s="213">
        <v>19640.775000000001</v>
      </c>
      <c r="AX15" s="188">
        <v>20481.674999999999</v>
      </c>
      <c r="AY15" s="214">
        <v>20480.599999999999</v>
      </c>
      <c r="AZ15" s="214">
        <v>20472.3</v>
      </c>
      <c r="BA15" s="214">
        <v>20470.900000000001</v>
      </c>
      <c r="BB15" s="214">
        <v>20470.900000000001</v>
      </c>
      <c r="BC15" s="214">
        <v>20469.3</v>
      </c>
      <c r="BD15" s="214">
        <v>21798.9</v>
      </c>
      <c r="BE15" s="214">
        <v>21782.400000000001</v>
      </c>
      <c r="BF15" s="214">
        <v>21781.575000000001</v>
      </c>
      <c r="BG15" s="214">
        <v>21781.575000000001</v>
      </c>
      <c r="BH15" s="214">
        <v>21781.575000000001</v>
      </c>
      <c r="BI15" s="214">
        <v>23849.075000000001</v>
      </c>
      <c r="BJ15" s="190">
        <v>23849.075000000001</v>
      </c>
    </row>
    <row r="16" spans="1:62" s="82" customFormat="1" ht="11.4" x14ac:dyDescent="0.2">
      <c r="A16" s="191"/>
      <c r="B16" s="192" t="s">
        <v>85</v>
      </c>
      <c r="C16" s="163">
        <v>10169.567999999999</v>
      </c>
      <c r="D16" s="163">
        <v>10169.567999999999</v>
      </c>
      <c r="E16" s="163">
        <v>10169.567999999999</v>
      </c>
      <c r="F16" s="163">
        <v>10169.567999999999</v>
      </c>
      <c r="G16" s="163">
        <v>11049.567999999999</v>
      </c>
      <c r="H16" s="163">
        <v>9967.4989999999998</v>
      </c>
      <c r="I16" s="163">
        <v>9967.4749999999985</v>
      </c>
      <c r="J16" s="163">
        <v>11967.47</v>
      </c>
      <c r="K16" s="163">
        <v>11967.47</v>
      </c>
      <c r="L16" s="163">
        <v>10967.474999999999</v>
      </c>
      <c r="M16" s="163">
        <v>10267.475999999997</v>
      </c>
      <c r="N16" s="164">
        <v>11378.199000000001</v>
      </c>
      <c r="O16" s="163">
        <v>11378.174999999999</v>
      </c>
      <c r="P16" s="163">
        <v>11378.174999999999</v>
      </c>
      <c r="Q16" s="163">
        <v>10945.145</v>
      </c>
      <c r="R16" s="163">
        <v>11458.394999999997</v>
      </c>
      <c r="S16" s="163">
        <v>11465.358</v>
      </c>
      <c r="T16" s="163">
        <v>12544.333000000001</v>
      </c>
      <c r="U16" s="163">
        <v>12544.333000000001</v>
      </c>
      <c r="V16" s="163">
        <v>12548.883000000002</v>
      </c>
      <c r="W16" s="163">
        <v>13314.157999999999</v>
      </c>
      <c r="X16" s="163">
        <v>13313.308000000001</v>
      </c>
      <c r="Y16" s="163">
        <v>13311.208000000001</v>
      </c>
      <c r="Z16" s="164">
        <v>14422.25</v>
      </c>
      <c r="AA16" s="163">
        <v>14420.85</v>
      </c>
      <c r="AB16" s="163">
        <v>14419.85</v>
      </c>
      <c r="AC16" s="163">
        <v>14419.85</v>
      </c>
      <c r="AD16" s="163">
        <v>14419.85</v>
      </c>
      <c r="AE16" s="163">
        <v>14417.05</v>
      </c>
      <c r="AF16" s="163">
        <v>15470.35</v>
      </c>
      <c r="AG16" s="163">
        <v>15469.125</v>
      </c>
      <c r="AH16" s="163">
        <v>15467.724999999999</v>
      </c>
      <c r="AI16" s="163">
        <v>15467.224999999999</v>
      </c>
      <c r="AJ16" s="163">
        <v>15466.924999999999</v>
      </c>
      <c r="AK16" s="163">
        <v>15466.924999999999</v>
      </c>
      <c r="AL16" s="164">
        <v>18439.575000000001</v>
      </c>
      <c r="AM16" s="209">
        <v>216.91499999999999</v>
      </c>
      <c r="AN16" s="209">
        <v>216.91499999999999</v>
      </c>
      <c r="AO16" s="209">
        <v>216.91499999999999</v>
      </c>
      <c r="AP16" s="209">
        <v>216.91499999999999</v>
      </c>
      <c r="AQ16" s="209">
        <v>216.91499999999999</v>
      </c>
      <c r="AR16" s="209">
        <v>216.91499999999999</v>
      </c>
      <c r="AS16" s="209">
        <v>216.91499999999999</v>
      </c>
      <c r="AT16" s="209">
        <v>216.852</v>
      </c>
      <c r="AU16" s="209">
        <v>0</v>
      </c>
      <c r="AV16" s="209">
        <v>0</v>
      </c>
      <c r="AW16" s="209">
        <v>0</v>
      </c>
      <c r="AX16" s="215">
        <v>0</v>
      </c>
      <c r="AY16" s="210">
        <v>0</v>
      </c>
      <c r="AZ16" s="210">
        <v>0</v>
      </c>
      <c r="BA16" s="210">
        <v>0</v>
      </c>
      <c r="BB16" s="210">
        <v>0</v>
      </c>
      <c r="BC16" s="210">
        <v>0</v>
      </c>
      <c r="BD16" s="210">
        <v>0</v>
      </c>
      <c r="BE16" s="210">
        <v>4000</v>
      </c>
      <c r="BF16" s="210">
        <v>4000</v>
      </c>
      <c r="BG16" s="210">
        <v>4000</v>
      </c>
      <c r="BH16" s="210">
        <v>4000</v>
      </c>
      <c r="BI16" s="210">
        <v>4000</v>
      </c>
      <c r="BJ16" s="216">
        <v>10687.56</v>
      </c>
    </row>
    <row r="17" spans="1:62" s="82" customFormat="1" ht="12" x14ac:dyDescent="0.2">
      <c r="A17" s="183">
        <v>3</v>
      </c>
      <c r="B17" s="184" t="s">
        <v>113</v>
      </c>
      <c r="C17" s="185">
        <v>3876.759</v>
      </c>
      <c r="D17" s="185">
        <v>3876.759</v>
      </c>
      <c r="E17" s="185">
        <v>3876.759</v>
      </c>
      <c r="F17" s="185">
        <v>3876.759</v>
      </c>
      <c r="G17" s="185">
        <v>3876.759</v>
      </c>
      <c r="H17" s="185">
        <v>3876.759</v>
      </c>
      <c r="I17" s="185">
        <v>3876.759</v>
      </c>
      <c r="J17" s="185">
        <v>3876.759</v>
      </c>
      <c r="K17" s="185">
        <v>3876.759</v>
      </c>
      <c r="L17" s="185">
        <v>3876.759</v>
      </c>
      <c r="M17" s="185">
        <v>3876.759</v>
      </c>
      <c r="N17" s="186">
        <v>1516.915</v>
      </c>
      <c r="O17" s="185">
        <v>1516.915</v>
      </c>
      <c r="P17" s="185">
        <v>1516.915</v>
      </c>
      <c r="Q17" s="185">
        <v>1516.915</v>
      </c>
      <c r="R17" s="185">
        <v>1516.915</v>
      </c>
      <c r="S17" s="185">
        <v>1516.915</v>
      </c>
      <c r="T17" s="185">
        <v>1516.915</v>
      </c>
      <c r="U17" s="185">
        <v>1516.915</v>
      </c>
      <c r="V17" s="185">
        <v>1516.915</v>
      </c>
      <c r="W17" s="185">
        <v>1516.915</v>
      </c>
      <c r="X17" s="185">
        <v>1516.915</v>
      </c>
      <c r="Y17" s="185">
        <v>1516.915</v>
      </c>
      <c r="Z17" s="186">
        <v>1116.915</v>
      </c>
      <c r="AA17" s="185">
        <v>1116.915</v>
      </c>
      <c r="AB17" s="185">
        <v>1116.915</v>
      </c>
      <c r="AC17" s="185">
        <v>1116.915</v>
      </c>
      <c r="AD17" s="185">
        <v>1116.915</v>
      </c>
      <c r="AE17" s="185">
        <v>1116.915</v>
      </c>
      <c r="AF17" s="185">
        <v>1116.915</v>
      </c>
      <c r="AG17" s="185">
        <v>1116.915</v>
      </c>
      <c r="AH17" s="185">
        <v>1116.915</v>
      </c>
      <c r="AI17" s="185">
        <v>716.91499999999996</v>
      </c>
      <c r="AJ17" s="185">
        <v>716.91499999999996</v>
      </c>
      <c r="AK17" s="185">
        <v>716.91499999999996</v>
      </c>
      <c r="AL17" s="186">
        <v>216.91499999999999</v>
      </c>
      <c r="AM17" s="205">
        <v>82.292000000000002</v>
      </c>
      <c r="AN17" s="205">
        <v>82.792000000000002</v>
      </c>
      <c r="AO17" s="205">
        <v>82.792000000000002</v>
      </c>
      <c r="AP17" s="205">
        <v>83.167000000000002</v>
      </c>
      <c r="AQ17" s="205">
        <v>85.122</v>
      </c>
      <c r="AR17" s="205">
        <v>87.917000000000002</v>
      </c>
      <c r="AS17" s="205">
        <v>90.191999999999993</v>
      </c>
      <c r="AT17" s="205">
        <v>93.528999999999996</v>
      </c>
      <c r="AU17" s="205">
        <v>0</v>
      </c>
      <c r="AV17" s="205">
        <v>0</v>
      </c>
      <c r="AW17" s="205">
        <v>0</v>
      </c>
      <c r="AX17" s="206">
        <v>0</v>
      </c>
      <c r="AY17" s="207">
        <v>0</v>
      </c>
      <c r="AZ17" s="207">
        <v>0</v>
      </c>
      <c r="BA17" s="207">
        <v>0</v>
      </c>
      <c r="BB17" s="207">
        <v>0</v>
      </c>
      <c r="BC17" s="207">
        <v>0</v>
      </c>
      <c r="BD17" s="207">
        <v>0</v>
      </c>
      <c r="BE17" s="207">
        <v>0</v>
      </c>
      <c r="BF17" s="207">
        <v>0</v>
      </c>
      <c r="BG17" s="207">
        <v>0</v>
      </c>
      <c r="BH17" s="207">
        <v>0</v>
      </c>
      <c r="BI17" s="207">
        <v>0</v>
      </c>
      <c r="BJ17" s="208">
        <v>7.56</v>
      </c>
    </row>
    <row r="18" spans="1:62" s="82" customFormat="1" ht="12" x14ac:dyDescent="0.2">
      <c r="A18" s="191"/>
      <c r="B18" s="192" t="s">
        <v>18</v>
      </c>
      <c r="C18" s="107">
        <v>254.38399999999999</v>
      </c>
      <c r="D18" s="107">
        <v>254.38399999999999</v>
      </c>
      <c r="E18" s="107">
        <v>254.38399999999999</v>
      </c>
      <c r="F18" s="107">
        <v>254.38399999999999</v>
      </c>
      <c r="G18" s="107">
        <v>254.38399999999999</v>
      </c>
      <c r="H18" s="107">
        <v>254.38399999999999</v>
      </c>
      <c r="I18" s="107">
        <v>254.38399999999999</v>
      </c>
      <c r="J18" s="107">
        <v>254.38399999999999</v>
      </c>
      <c r="K18" s="107">
        <v>275.154</v>
      </c>
      <c r="L18" s="107">
        <v>275.154</v>
      </c>
      <c r="M18" s="107">
        <v>275.154</v>
      </c>
      <c r="N18" s="108">
        <v>279.50099999999998</v>
      </c>
      <c r="O18" s="107">
        <v>280.55099999999999</v>
      </c>
      <c r="P18" s="107">
        <v>280.65100000000001</v>
      </c>
      <c r="Q18" s="107">
        <v>280.65100000000001</v>
      </c>
      <c r="R18" s="107">
        <v>287.26600000000002</v>
      </c>
      <c r="S18" s="107">
        <v>292.06599999999997</v>
      </c>
      <c r="T18" s="107">
        <v>301.05599999999998</v>
      </c>
      <c r="U18" s="107">
        <v>320.63799999999998</v>
      </c>
      <c r="V18" s="107">
        <v>336.77300000000002</v>
      </c>
      <c r="W18" s="107">
        <v>386.04</v>
      </c>
      <c r="X18" s="107">
        <v>393.11500000000001</v>
      </c>
      <c r="Y18" s="107">
        <v>424.38200000000001</v>
      </c>
      <c r="Z18" s="108">
        <v>447.16399999999999</v>
      </c>
      <c r="AA18" s="107">
        <v>451.38900000000001</v>
      </c>
      <c r="AB18" s="107">
        <v>456.26299999999998</v>
      </c>
      <c r="AC18" s="107">
        <v>460.66300000000001</v>
      </c>
      <c r="AD18" s="107">
        <v>466.28300000000002</v>
      </c>
      <c r="AE18" s="107">
        <v>474.98</v>
      </c>
      <c r="AF18" s="107">
        <v>511.37400000000002</v>
      </c>
      <c r="AG18" s="107">
        <v>524.53300000000002</v>
      </c>
      <c r="AH18" s="107">
        <v>534.07100000000003</v>
      </c>
      <c r="AI18" s="107">
        <v>393.69200000000001</v>
      </c>
      <c r="AJ18" s="107">
        <v>397.17700000000002</v>
      </c>
      <c r="AK18" s="107">
        <v>397.17700000000002</v>
      </c>
      <c r="AL18" s="108">
        <v>76.896000000000001</v>
      </c>
      <c r="AM18" s="201">
        <v>82.292000000000002</v>
      </c>
      <c r="AN18" s="201">
        <v>82.792000000000002</v>
      </c>
      <c r="AO18" s="201">
        <v>82.792000000000002</v>
      </c>
      <c r="AP18" s="201">
        <v>83.167000000000002</v>
      </c>
      <c r="AQ18" s="201">
        <v>85.122</v>
      </c>
      <c r="AR18" s="201">
        <v>87.917000000000002</v>
      </c>
      <c r="AS18" s="201">
        <v>90.191999999999993</v>
      </c>
      <c r="AT18" s="201">
        <v>93.528999999999996</v>
      </c>
      <c r="AU18" s="201">
        <v>0</v>
      </c>
      <c r="AV18" s="201">
        <v>0</v>
      </c>
      <c r="AW18" s="201">
        <v>0</v>
      </c>
      <c r="AX18" s="202">
        <v>0</v>
      </c>
      <c r="AY18" s="203">
        <v>0</v>
      </c>
      <c r="AZ18" s="203">
        <v>0</v>
      </c>
      <c r="BA18" s="203">
        <v>0</v>
      </c>
      <c r="BB18" s="203">
        <v>0</v>
      </c>
      <c r="BC18" s="203">
        <v>0</v>
      </c>
      <c r="BD18" s="203">
        <v>0</v>
      </c>
      <c r="BE18" s="203">
        <v>0</v>
      </c>
      <c r="BF18" s="203">
        <v>0</v>
      </c>
      <c r="BG18" s="203">
        <v>0</v>
      </c>
      <c r="BH18" s="203">
        <v>0</v>
      </c>
      <c r="BI18" s="203">
        <v>0</v>
      </c>
      <c r="BJ18" s="204">
        <v>7.56</v>
      </c>
    </row>
    <row r="19" spans="1:62" s="89" customFormat="1" ht="12" x14ac:dyDescent="0.2">
      <c r="A19" s="199"/>
      <c r="B19" s="200" t="s">
        <v>19</v>
      </c>
      <c r="C19" s="161">
        <v>254.38399999999999</v>
      </c>
      <c r="D19" s="161">
        <v>254.38399999999999</v>
      </c>
      <c r="E19" s="161">
        <v>254.38399999999999</v>
      </c>
      <c r="F19" s="161">
        <v>254.38399999999999</v>
      </c>
      <c r="G19" s="161">
        <v>254.38399999999999</v>
      </c>
      <c r="H19" s="161">
        <v>254.38399999999999</v>
      </c>
      <c r="I19" s="161">
        <v>254.38399999999999</v>
      </c>
      <c r="J19" s="161">
        <v>254.38399999999999</v>
      </c>
      <c r="K19" s="161">
        <v>275.154</v>
      </c>
      <c r="L19" s="161">
        <v>275.154</v>
      </c>
      <c r="M19" s="161">
        <v>275.154</v>
      </c>
      <c r="N19" s="162">
        <v>279.50099999999998</v>
      </c>
      <c r="O19" s="161">
        <v>280.55099999999999</v>
      </c>
      <c r="P19" s="161">
        <v>280.65100000000001</v>
      </c>
      <c r="Q19" s="161">
        <v>280.65100000000001</v>
      </c>
      <c r="R19" s="161">
        <v>287.26600000000002</v>
      </c>
      <c r="S19" s="161">
        <v>292.06599999999997</v>
      </c>
      <c r="T19" s="161">
        <v>301.05599999999998</v>
      </c>
      <c r="U19" s="161">
        <v>320.63799999999998</v>
      </c>
      <c r="V19" s="161">
        <v>336.77300000000002</v>
      </c>
      <c r="W19" s="161">
        <v>386.04</v>
      </c>
      <c r="X19" s="161">
        <v>393.11500000000001</v>
      </c>
      <c r="Y19" s="161">
        <v>424.38200000000001</v>
      </c>
      <c r="Z19" s="162">
        <v>447.16399999999999</v>
      </c>
      <c r="AA19" s="161">
        <v>451.38900000000001</v>
      </c>
      <c r="AB19" s="161">
        <v>456.26299999999998</v>
      </c>
      <c r="AC19" s="161">
        <v>460.66300000000001</v>
      </c>
      <c r="AD19" s="161">
        <v>466.28300000000002</v>
      </c>
      <c r="AE19" s="161">
        <v>474.98</v>
      </c>
      <c r="AF19" s="161">
        <v>511.37400000000002</v>
      </c>
      <c r="AG19" s="161">
        <v>524.53300000000002</v>
      </c>
      <c r="AH19" s="161">
        <v>534.07100000000003</v>
      </c>
      <c r="AI19" s="161">
        <v>393.69200000000001</v>
      </c>
      <c r="AJ19" s="161">
        <v>397.17700000000002</v>
      </c>
      <c r="AK19" s="161">
        <v>397.17700000000002</v>
      </c>
      <c r="AL19" s="162">
        <v>76.896000000000001</v>
      </c>
      <c r="AM19" s="217">
        <v>0</v>
      </c>
      <c r="AN19" s="217">
        <v>0</v>
      </c>
      <c r="AO19" s="217">
        <v>0</v>
      </c>
      <c r="AP19" s="217">
        <v>0</v>
      </c>
      <c r="AQ19" s="217">
        <v>0</v>
      </c>
      <c r="AR19" s="217">
        <v>0</v>
      </c>
      <c r="AS19" s="217">
        <v>0</v>
      </c>
      <c r="AT19" s="217">
        <v>0</v>
      </c>
      <c r="AU19" s="201">
        <v>0</v>
      </c>
      <c r="AV19" s="201">
        <v>0</v>
      </c>
      <c r="AW19" s="201">
        <v>0</v>
      </c>
      <c r="AX19" s="202">
        <v>0</v>
      </c>
      <c r="AY19" s="218">
        <v>0</v>
      </c>
      <c r="AZ19" s="218">
        <v>0</v>
      </c>
      <c r="BA19" s="218">
        <v>0</v>
      </c>
      <c r="BB19" s="218">
        <v>0</v>
      </c>
      <c r="BC19" s="218">
        <v>0</v>
      </c>
      <c r="BD19" s="218">
        <v>0</v>
      </c>
      <c r="BE19" s="218">
        <v>0</v>
      </c>
      <c r="BF19" s="218">
        <v>0</v>
      </c>
      <c r="BG19" s="203">
        <v>0</v>
      </c>
      <c r="BH19" s="203">
        <v>0</v>
      </c>
      <c r="BI19" s="203">
        <v>0</v>
      </c>
      <c r="BJ19" s="204">
        <v>0</v>
      </c>
    </row>
    <row r="20" spans="1:62" s="89" customFormat="1" ht="12" x14ac:dyDescent="0.2">
      <c r="A20" s="199"/>
      <c r="B20" s="200" t="s">
        <v>23</v>
      </c>
      <c r="C20" s="161">
        <v>0</v>
      </c>
      <c r="D20" s="161">
        <v>0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2">
        <v>0</v>
      </c>
      <c r="O20" s="161">
        <v>0</v>
      </c>
      <c r="P20" s="161">
        <v>0</v>
      </c>
      <c r="Q20" s="161">
        <v>0</v>
      </c>
      <c r="R20" s="161">
        <v>0</v>
      </c>
      <c r="S20" s="161">
        <v>0</v>
      </c>
      <c r="T20" s="161">
        <v>0</v>
      </c>
      <c r="U20" s="161">
        <v>0</v>
      </c>
      <c r="V20" s="161">
        <v>0</v>
      </c>
      <c r="W20" s="161">
        <v>0</v>
      </c>
      <c r="X20" s="161">
        <v>0</v>
      </c>
      <c r="Y20" s="161">
        <v>0</v>
      </c>
      <c r="Z20" s="162">
        <v>0</v>
      </c>
      <c r="AA20" s="161">
        <v>0</v>
      </c>
      <c r="AB20" s="161">
        <v>0</v>
      </c>
      <c r="AC20" s="161">
        <v>0</v>
      </c>
      <c r="AD20" s="161">
        <v>0</v>
      </c>
      <c r="AE20" s="161">
        <v>0</v>
      </c>
      <c r="AF20" s="161">
        <v>0</v>
      </c>
      <c r="AG20" s="161">
        <v>0</v>
      </c>
      <c r="AH20" s="161">
        <v>0</v>
      </c>
      <c r="AI20" s="161">
        <v>0</v>
      </c>
      <c r="AJ20" s="161">
        <v>0</v>
      </c>
      <c r="AK20" s="161">
        <v>0</v>
      </c>
      <c r="AL20" s="162">
        <v>0</v>
      </c>
      <c r="AM20" s="213">
        <v>134.62299999999999</v>
      </c>
      <c r="AN20" s="213">
        <v>134.12300000000002</v>
      </c>
      <c r="AO20" s="213">
        <v>134.12299999999999</v>
      </c>
      <c r="AP20" s="213">
        <v>133.74799999999999</v>
      </c>
      <c r="AQ20" s="213">
        <v>131.79300000000001</v>
      </c>
      <c r="AR20" s="213">
        <v>128.99799999999999</v>
      </c>
      <c r="AS20" s="213">
        <v>126.723</v>
      </c>
      <c r="AT20" s="213">
        <v>123.32300000000001</v>
      </c>
      <c r="AU20" s="219">
        <v>0</v>
      </c>
      <c r="AV20" s="219">
        <v>0</v>
      </c>
      <c r="AW20" s="219">
        <v>0</v>
      </c>
      <c r="AX20" s="206">
        <v>0</v>
      </c>
      <c r="AY20" s="214">
        <v>0</v>
      </c>
      <c r="AZ20" s="214">
        <v>0</v>
      </c>
      <c r="BA20" s="214">
        <v>0</v>
      </c>
      <c r="BB20" s="214">
        <v>0</v>
      </c>
      <c r="BC20" s="214">
        <v>0</v>
      </c>
      <c r="BD20" s="214">
        <v>0</v>
      </c>
      <c r="BE20" s="214">
        <v>4000</v>
      </c>
      <c r="BF20" s="214">
        <v>4000</v>
      </c>
      <c r="BG20" s="214">
        <v>4000</v>
      </c>
      <c r="BH20" s="214">
        <v>4000</v>
      </c>
      <c r="BI20" s="214">
        <v>4000</v>
      </c>
      <c r="BJ20" s="208">
        <v>10680</v>
      </c>
    </row>
    <row r="21" spans="1:62" s="82" customFormat="1" ht="11.4" x14ac:dyDescent="0.2">
      <c r="A21" s="191"/>
      <c r="B21" s="192" t="s">
        <v>85</v>
      </c>
      <c r="C21" s="163">
        <v>3622.375</v>
      </c>
      <c r="D21" s="163">
        <v>3622.375</v>
      </c>
      <c r="E21" s="163">
        <v>3622.375</v>
      </c>
      <c r="F21" s="163">
        <v>3622.375</v>
      </c>
      <c r="G21" s="163">
        <v>3622.375</v>
      </c>
      <c r="H21" s="163">
        <v>3622.375</v>
      </c>
      <c r="I21" s="163">
        <v>3622.375</v>
      </c>
      <c r="J21" s="163">
        <v>3622.375</v>
      </c>
      <c r="K21" s="163">
        <v>3601.605</v>
      </c>
      <c r="L21" s="163">
        <v>3601.605</v>
      </c>
      <c r="M21" s="163">
        <v>3601.605</v>
      </c>
      <c r="N21" s="164">
        <v>1237.414</v>
      </c>
      <c r="O21" s="163">
        <v>1236.364</v>
      </c>
      <c r="P21" s="163">
        <v>1236.2640000000001</v>
      </c>
      <c r="Q21" s="163">
        <v>1236.2640000000001</v>
      </c>
      <c r="R21" s="163">
        <v>1229.6490000000001</v>
      </c>
      <c r="S21" s="163">
        <v>1224.8489999999999</v>
      </c>
      <c r="T21" s="163">
        <v>1215.8589999999999</v>
      </c>
      <c r="U21" s="163">
        <v>1196.277</v>
      </c>
      <c r="V21" s="163">
        <v>1180.1420000000001</v>
      </c>
      <c r="W21" s="163">
        <v>1130.875</v>
      </c>
      <c r="X21" s="163">
        <v>1123.8</v>
      </c>
      <c r="Y21" s="163">
        <v>1092.5329999999999</v>
      </c>
      <c r="Z21" s="164">
        <v>669.75099999999998</v>
      </c>
      <c r="AA21" s="163">
        <v>665.52599999999995</v>
      </c>
      <c r="AB21" s="163">
        <v>660.65200000000004</v>
      </c>
      <c r="AC21" s="163">
        <v>656.25199999999995</v>
      </c>
      <c r="AD21" s="163">
        <v>650.63199999999995</v>
      </c>
      <c r="AE21" s="163">
        <v>641.93499999999995</v>
      </c>
      <c r="AF21" s="163">
        <v>605.54099999999994</v>
      </c>
      <c r="AG21" s="163">
        <v>592.38199999999995</v>
      </c>
      <c r="AH21" s="163">
        <v>582.84399999999994</v>
      </c>
      <c r="AI21" s="163">
        <v>323.22300000000001</v>
      </c>
      <c r="AJ21" s="163">
        <v>319.738</v>
      </c>
      <c r="AK21" s="163">
        <v>319.738</v>
      </c>
      <c r="AL21" s="164">
        <v>140.01900000000001</v>
      </c>
      <c r="AM21" s="209">
        <v>4433.6440000000002</v>
      </c>
      <c r="AN21" s="209">
        <v>4433.6439999999993</v>
      </c>
      <c r="AO21" s="209">
        <v>4433.6440000000002</v>
      </c>
      <c r="AP21" s="209">
        <v>4433.6440000000002</v>
      </c>
      <c r="AQ21" s="209">
        <v>4433.6440000000002</v>
      </c>
      <c r="AR21" s="209">
        <v>4433.6440000000002</v>
      </c>
      <c r="AS21" s="209">
        <v>4433.6440000000002</v>
      </c>
      <c r="AT21" s="220">
        <v>5033.6440000000002</v>
      </c>
      <c r="AU21" s="219">
        <v>5033.6440000000002</v>
      </c>
      <c r="AV21" s="219">
        <v>5033.6440000000002</v>
      </c>
      <c r="AW21" s="219">
        <v>5372.8940000000002</v>
      </c>
      <c r="AX21" s="215">
        <v>5126.8940000000002</v>
      </c>
      <c r="AY21" s="210">
        <v>5126.8999999999996</v>
      </c>
      <c r="AZ21" s="210">
        <v>5126.8940000000002</v>
      </c>
      <c r="BA21" s="210">
        <v>5126.8940000000002</v>
      </c>
      <c r="BB21" s="210">
        <v>5126.8940000000002</v>
      </c>
      <c r="BC21" s="210">
        <v>5126.8940000000002</v>
      </c>
      <c r="BD21" s="210">
        <v>5126.8940000000002</v>
      </c>
      <c r="BE21" s="210">
        <v>5126.8940000000002</v>
      </c>
      <c r="BF21" s="221">
        <v>5126.8940000000002</v>
      </c>
      <c r="BG21" s="222">
        <v>4626.8940000000002</v>
      </c>
      <c r="BH21" s="222">
        <v>4626.8940000000002</v>
      </c>
      <c r="BI21" s="222">
        <v>4626.8940000000002</v>
      </c>
      <c r="BJ21" s="216">
        <v>4622.8940000000002</v>
      </c>
    </row>
    <row r="22" spans="1:62" s="82" customFormat="1" ht="12" x14ac:dyDescent="0.2">
      <c r="A22" s="183">
        <v>4</v>
      </c>
      <c r="B22" s="184" t="s">
        <v>114</v>
      </c>
      <c r="C22" s="159">
        <v>1678.8789999999999</v>
      </c>
      <c r="D22" s="159">
        <v>1678.8789999999999</v>
      </c>
      <c r="E22" s="159">
        <v>1678.8789999999999</v>
      </c>
      <c r="F22" s="159">
        <v>1678.8789999999999</v>
      </c>
      <c r="G22" s="159">
        <v>1678.8789999999999</v>
      </c>
      <c r="H22" s="159">
        <v>1261</v>
      </c>
      <c r="I22" s="159">
        <v>1601.152</v>
      </c>
      <c r="J22" s="159">
        <v>1601.152</v>
      </c>
      <c r="K22" s="159">
        <v>1390.9960000000001</v>
      </c>
      <c r="L22" s="159">
        <v>1390.9960000000001</v>
      </c>
      <c r="M22" s="159">
        <v>1391.0359999999998</v>
      </c>
      <c r="N22" s="160">
        <v>1390.9960000000001</v>
      </c>
      <c r="O22" s="159">
        <v>1390.9960000000001</v>
      </c>
      <c r="P22" s="159">
        <v>1390.9959999999999</v>
      </c>
      <c r="Q22" s="159">
        <v>1390.9959999999999</v>
      </c>
      <c r="R22" s="159">
        <v>1690.9960000000001</v>
      </c>
      <c r="S22" s="159">
        <v>1690.9960000000001</v>
      </c>
      <c r="T22" s="159">
        <v>1887.9580000000001</v>
      </c>
      <c r="U22" s="159">
        <v>1887.9580000000001</v>
      </c>
      <c r="V22" s="159">
        <v>1887.9580000000001</v>
      </c>
      <c r="W22" s="159">
        <v>2387.9580000000001</v>
      </c>
      <c r="X22" s="159">
        <v>2387.9580000000001</v>
      </c>
      <c r="Y22" s="159">
        <v>2387.9580000000001</v>
      </c>
      <c r="Z22" s="160">
        <v>3014.3610000000003</v>
      </c>
      <c r="AA22" s="159">
        <v>3014.3609999999999</v>
      </c>
      <c r="AB22" s="159">
        <v>2941.3629999999998</v>
      </c>
      <c r="AC22" s="159">
        <v>2941.3629999999998</v>
      </c>
      <c r="AD22" s="159">
        <v>2941.3629999999998</v>
      </c>
      <c r="AE22" s="159">
        <v>2766.5830000000001</v>
      </c>
      <c r="AF22" s="159">
        <v>3466.5830000000001</v>
      </c>
      <c r="AG22" s="159">
        <v>3466.5829999999996</v>
      </c>
      <c r="AH22" s="159">
        <v>3466.5830000000001</v>
      </c>
      <c r="AI22" s="159">
        <v>3466.5830000000001</v>
      </c>
      <c r="AJ22" s="159">
        <v>3466.5830000000001</v>
      </c>
      <c r="AK22" s="159">
        <v>3466.5830000000001</v>
      </c>
      <c r="AL22" s="160">
        <v>4433.6440000000002</v>
      </c>
      <c r="AM22" s="205">
        <v>1342.171</v>
      </c>
      <c r="AN22" s="205">
        <v>1350.9159999999999</v>
      </c>
      <c r="AO22" s="205">
        <v>1362.8219999999999</v>
      </c>
      <c r="AP22" s="205">
        <v>1372.912</v>
      </c>
      <c r="AQ22" s="205">
        <v>1444.9570000000001</v>
      </c>
      <c r="AR22" s="205">
        <v>1619.8869999999999</v>
      </c>
      <c r="AS22" s="205">
        <v>1712.6130000000001</v>
      </c>
      <c r="AT22" s="223">
        <v>2051.973</v>
      </c>
      <c r="AU22" s="205">
        <v>2159.4679999999998</v>
      </c>
      <c r="AV22" s="205">
        <v>2408.0340000000001</v>
      </c>
      <c r="AW22" s="205">
        <v>2673.1489999999999</v>
      </c>
      <c r="AX22" s="224">
        <v>2634.9740000000002</v>
      </c>
      <c r="AY22" s="207">
        <v>2700.9</v>
      </c>
      <c r="AZ22" s="207">
        <v>2743.721</v>
      </c>
      <c r="BA22" s="207">
        <v>2823.8539999999998</v>
      </c>
      <c r="BB22" s="207">
        <v>2861.096</v>
      </c>
      <c r="BC22" s="207">
        <v>2885.9290000000001</v>
      </c>
      <c r="BD22" s="207">
        <v>3022.99</v>
      </c>
      <c r="BE22" s="207">
        <v>3174.6979999999999</v>
      </c>
      <c r="BF22" s="225">
        <v>3216.5279999999998</v>
      </c>
      <c r="BG22" s="207">
        <v>2861.96</v>
      </c>
      <c r="BH22" s="207">
        <v>2886.33</v>
      </c>
      <c r="BI22" s="207">
        <v>2917.86</v>
      </c>
      <c r="BJ22" s="226">
        <v>3136.6729999999998</v>
      </c>
    </row>
    <row r="23" spans="1:62" s="82" customFormat="1" ht="12" x14ac:dyDescent="0.2">
      <c r="A23" s="191"/>
      <c r="B23" s="192" t="s">
        <v>18</v>
      </c>
      <c r="C23" s="107">
        <v>55.322000000000003</v>
      </c>
      <c r="D23" s="107">
        <v>55.322000000000003</v>
      </c>
      <c r="E23" s="107">
        <v>55.322000000000003</v>
      </c>
      <c r="F23" s="107">
        <v>55.322000000000003</v>
      </c>
      <c r="G23" s="107">
        <v>55.322000000000003</v>
      </c>
      <c r="H23" s="107">
        <v>52.4</v>
      </c>
      <c r="I23" s="107">
        <v>52.351999999999997</v>
      </c>
      <c r="J23" s="107">
        <v>52.351999999999997</v>
      </c>
      <c r="K23" s="107">
        <v>52.652000000000001</v>
      </c>
      <c r="L23" s="107">
        <v>52.652000000000001</v>
      </c>
      <c r="M23" s="107">
        <v>53</v>
      </c>
      <c r="N23" s="108">
        <v>62.695</v>
      </c>
      <c r="O23" s="107">
        <v>62.831000000000003</v>
      </c>
      <c r="P23" s="107">
        <v>63.331000000000003</v>
      </c>
      <c r="Q23" s="107">
        <v>63.331000000000003</v>
      </c>
      <c r="R23" s="107">
        <v>71.745999999999995</v>
      </c>
      <c r="S23" s="107">
        <v>76.247</v>
      </c>
      <c r="T23" s="107">
        <v>88.055000000000007</v>
      </c>
      <c r="U23" s="107">
        <v>133.44999999999999</v>
      </c>
      <c r="V23" s="107">
        <v>216.22</v>
      </c>
      <c r="W23" s="107">
        <v>332.39699999999999</v>
      </c>
      <c r="X23" s="107">
        <v>355.596</v>
      </c>
      <c r="Y23" s="107">
        <v>395.94499999999999</v>
      </c>
      <c r="Z23" s="108">
        <v>562.71500000000003</v>
      </c>
      <c r="AA23" s="107">
        <v>586.32600000000002</v>
      </c>
      <c r="AB23" s="107">
        <v>577.07000000000005</v>
      </c>
      <c r="AC23" s="107">
        <v>597.40200000000004</v>
      </c>
      <c r="AD23" s="107">
        <v>610.11800000000005</v>
      </c>
      <c r="AE23" s="107">
        <v>586.58000000000004</v>
      </c>
      <c r="AF23" s="107">
        <v>657.05799999999999</v>
      </c>
      <c r="AG23" s="107">
        <v>774.53899999999999</v>
      </c>
      <c r="AH23" s="107">
        <v>837.66499999999996</v>
      </c>
      <c r="AI23" s="107">
        <v>882.91099999999994</v>
      </c>
      <c r="AJ23" s="107">
        <v>894.55100000000004</v>
      </c>
      <c r="AK23" s="107">
        <v>894.55100000000004</v>
      </c>
      <c r="AL23" s="108">
        <v>1155.125</v>
      </c>
      <c r="AM23" s="217">
        <v>1342.171</v>
      </c>
      <c r="AN23" s="217">
        <v>1350.9159999999999</v>
      </c>
      <c r="AO23" s="217">
        <v>1362.8219999999999</v>
      </c>
      <c r="AP23" s="217">
        <v>1372.912</v>
      </c>
      <c r="AQ23" s="217">
        <v>1444.9570000000001</v>
      </c>
      <c r="AR23" s="217">
        <v>1619.8869999999999</v>
      </c>
      <c r="AS23" s="217">
        <v>1712.6130000000001</v>
      </c>
      <c r="AT23" s="227">
        <v>2051.973</v>
      </c>
      <c r="AU23" s="201">
        <v>2159.4679999999998</v>
      </c>
      <c r="AV23" s="201">
        <v>2408.0340000000001</v>
      </c>
      <c r="AW23" s="201">
        <v>2673.1489999999999</v>
      </c>
      <c r="AX23" s="202">
        <v>2634.9740000000002</v>
      </c>
      <c r="AY23" s="218">
        <v>2700.9</v>
      </c>
      <c r="AZ23" s="218">
        <v>2743.721</v>
      </c>
      <c r="BA23" s="218">
        <v>2823.8539999999998</v>
      </c>
      <c r="BB23" s="218">
        <v>2861.096</v>
      </c>
      <c r="BC23" s="218">
        <v>2885.9290000000001</v>
      </c>
      <c r="BD23" s="218">
        <v>3022.99</v>
      </c>
      <c r="BE23" s="218">
        <v>3174.6979999999999</v>
      </c>
      <c r="BF23" s="228">
        <v>3216.5279999999998</v>
      </c>
      <c r="BG23" s="203">
        <v>2861.96</v>
      </c>
      <c r="BH23" s="203">
        <v>2886.33</v>
      </c>
      <c r="BI23" s="203">
        <v>2917.86</v>
      </c>
      <c r="BJ23" s="204">
        <v>3136.6729999999998</v>
      </c>
    </row>
    <row r="24" spans="1:62" s="82" customFormat="1" ht="12" x14ac:dyDescent="0.2">
      <c r="A24" s="199"/>
      <c r="B24" s="200" t="s">
        <v>19</v>
      </c>
      <c r="C24" s="163">
        <v>55.322000000000003</v>
      </c>
      <c r="D24" s="163">
        <v>55.322000000000003</v>
      </c>
      <c r="E24" s="163">
        <v>55.322000000000003</v>
      </c>
      <c r="F24" s="163">
        <v>55.322000000000003</v>
      </c>
      <c r="G24" s="163">
        <v>55.322000000000003</v>
      </c>
      <c r="H24" s="163">
        <v>52.4</v>
      </c>
      <c r="I24" s="163">
        <v>52.351999999999997</v>
      </c>
      <c r="J24" s="163">
        <v>52.351999999999997</v>
      </c>
      <c r="K24" s="163">
        <v>52.652000000000001</v>
      </c>
      <c r="L24" s="163">
        <v>52.652000000000001</v>
      </c>
      <c r="M24" s="163">
        <v>53</v>
      </c>
      <c r="N24" s="164">
        <v>62.695</v>
      </c>
      <c r="O24" s="161">
        <v>62.831000000000003</v>
      </c>
      <c r="P24" s="161">
        <v>63.331000000000003</v>
      </c>
      <c r="Q24" s="161">
        <v>63.331000000000003</v>
      </c>
      <c r="R24" s="161">
        <v>71.745999999999995</v>
      </c>
      <c r="S24" s="161">
        <v>76.247</v>
      </c>
      <c r="T24" s="161">
        <v>88.055000000000007</v>
      </c>
      <c r="U24" s="161">
        <v>133.44999999999999</v>
      </c>
      <c r="V24" s="161">
        <v>216.22</v>
      </c>
      <c r="W24" s="161">
        <v>332.39699999999999</v>
      </c>
      <c r="X24" s="161">
        <v>355.596</v>
      </c>
      <c r="Y24" s="161">
        <v>395.94499999999999</v>
      </c>
      <c r="Z24" s="162">
        <v>562.71500000000003</v>
      </c>
      <c r="AA24" s="161">
        <v>586.32600000000002</v>
      </c>
      <c r="AB24" s="161">
        <v>577.07000000000005</v>
      </c>
      <c r="AC24" s="161">
        <v>597.40200000000004</v>
      </c>
      <c r="AD24" s="161">
        <v>610.11800000000005</v>
      </c>
      <c r="AE24" s="161">
        <v>586.58000000000004</v>
      </c>
      <c r="AF24" s="161">
        <v>657.05799999999999</v>
      </c>
      <c r="AG24" s="161">
        <v>774.53899999999999</v>
      </c>
      <c r="AH24" s="161">
        <v>837.66499999999996</v>
      </c>
      <c r="AI24" s="161">
        <v>882.91099999999994</v>
      </c>
      <c r="AJ24" s="161">
        <v>894.55100000000004</v>
      </c>
      <c r="AK24" s="161">
        <v>894.55100000000004</v>
      </c>
      <c r="AL24" s="162">
        <v>1155.125</v>
      </c>
      <c r="AM24" s="213">
        <v>3091.473</v>
      </c>
      <c r="AN24" s="213">
        <v>3082.7279999999996</v>
      </c>
      <c r="AO24" s="213">
        <v>3070.8220000000001</v>
      </c>
      <c r="AP24" s="213">
        <v>3060.732</v>
      </c>
      <c r="AQ24" s="213">
        <v>2988.6869999999999</v>
      </c>
      <c r="AR24" s="213">
        <v>2813.7570000000001</v>
      </c>
      <c r="AS24" s="213">
        <v>2721.0309999999999</v>
      </c>
      <c r="AT24" s="229">
        <v>2981.6709999999998</v>
      </c>
      <c r="AU24" s="219">
        <v>2874.1759999999999</v>
      </c>
      <c r="AV24" s="219">
        <v>2625.61</v>
      </c>
      <c r="AW24" s="219">
        <v>2699.7449999999999</v>
      </c>
      <c r="AX24" s="206">
        <v>2491.92</v>
      </c>
      <c r="AY24" s="214">
        <v>2426</v>
      </c>
      <c r="AZ24" s="214">
        <v>2383.1729999999998</v>
      </c>
      <c r="BA24" s="214">
        <v>2303.04</v>
      </c>
      <c r="BB24" s="214">
        <v>2265.7980000000002</v>
      </c>
      <c r="BC24" s="214">
        <v>2240.9650000000001</v>
      </c>
      <c r="BD24" s="214">
        <v>2103.904</v>
      </c>
      <c r="BE24" s="214">
        <v>1952.1960000000004</v>
      </c>
      <c r="BF24" s="230">
        <v>1910.3660000000004</v>
      </c>
      <c r="BG24" s="222">
        <v>1764.934</v>
      </c>
      <c r="BH24" s="222">
        <v>1740.5640000000001</v>
      </c>
      <c r="BI24" s="222">
        <v>1709.0340000000001</v>
      </c>
      <c r="BJ24" s="208">
        <v>1486.221</v>
      </c>
    </row>
    <row r="25" spans="1:62" s="82" customFormat="1" ht="12" x14ac:dyDescent="0.2">
      <c r="A25" s="191"/>
      <c r="B25" s="192" t="s">
        <v>85</v>
      </c>
      <c r="C25" s="163">
        <v>1623.5569999999998</v>
      </c>
      <c r="D25" s="163">
        <v>1623.5569999999998</v>
      </c>
      <c r="E25" s="163">
        <v>1623.5569999999998</v>
      </c>
      <c r="F25" s="163">
        <v>1623.5569999999998</v>
      </c>
      <c r="G25" s="163">
        <v>1623.5569999999998</v>
      </c>
      <c r="H25" s="163">
        <v>1208.5999999999999</v>
      </c>
      <c r="I25" s="163">
        <v>1548.8</v>
      </c>
      <c r="J25" s="163">
        <v>1548.8</v>
      </c>
      <c r="K25" s="163">
        <v>1338.3440000000001</v>
      </c>
      <c r="L25" s="163">
        <v>1338.3440000000001</v>
      </c>
      <c r="M25" s="163">
        <v>1338.0359999999998</v>
      </c>
      <c r="N25" s="164">
        <v>1328.3010000000002</v>
      </c>
      <c r="O25" s="163">
        <v>1328.165</v>
      </c>
      <c r="P25" s="163">
        <v>1327.665</v>
      </c>
      <c r="Q25" s="163">
        <v>1327.665</v>
      </c>
      <c r="R25" s="163">
        <v>1619.25</v>
      </c>
      <c r="S25" s="163">
        <v>1614.749</v>
      </c>
      <c r="T25" s="163">
        <v>1799.903</v>
      </c>
      <c r="U25" s="163">
        <v>1754.508</v>
      </c>
      <c r="V25" s="163">
        <v>1671.7380000000001</v>
      </c>
      <c r="W25" s="163">
        <v>2055.5610000000001</v>
      </c>
      <c r="X25" s="163">
        <v>2032.3620000000001</v>
      </c>
      <c r="Y25" s="163">
        <v>1992.0130000000001</v>
      </c>
      <c r="Z25" s="164">
        <v>2451.6460000000002</v>
      </c>
      <c r="AA25" s="163">
        <v>2428.0349999999999</v>
      </c>
      <c r="AB25" s="163">
        <v>2364.2929999999997</v>
      </c>
      <c r="AC25" s="163">
        <v>2343.9609999999998</v>
      </c>
      <c r="AD25" s="163">
        <v>2331.2449999999999</v>
      </c>
      <c r="AE25" s="163">
        <v>2180.0030000000002</v>
      </c>
      <c r="AF25" s="163">
        <v>2809.5250000000001</v>
      </c>
      <c r="AG25" s="163">
        <v>2692.0439999999999</v>
      </c>
      <c r="AH25" s="163">
        <v>2628.9180000000001</v>
      </c>
      <c r="AI25" s="163">
        <v>2583.672</v>
      </c>
      <c r="AJ25" s="163">
        <v>2572.0320000000002</v>
      </c>
      <c r="AK25" s="163">
        <v>2572.0320000000002</v>
      </c>
      <c r="AL25" s="164">
        <v>3278.5190000000002</v>
      </c>
      <c r="AM25" s="205">
        <v>0</v>
      </c>
      <c r="AN25" s="205">
        <v>0</v>
      </c>
      <c r="AO25" s="205">
        <v>0</v>
      </c>
      <c r="AP25" s="205">
        <v>0</v>
      </c>
      <c r="AQ25" s="205">
        <v>0</v>
      </c>
      <c r="AR25" s="205">
        <v>0</v>
      </c>
      <c r="AS25" s="205">
        <v>0</v>
      </c>
      <c r="AT25" s="223">
        <v>0</v>
      </c>
      <c r="AU25" s="213">
        <v>0</v>
      </c>
      <c r="AV25" s="213">
        <v>0</v>
      </c>
      <c r="AW25" s="213">
        <v>0</v>
      </c>
      <c r="AX25" s="215">
        <v>4</v>
      </c>
      <c r="AY25" s="207">
        <v>4</v>
      </c>
      <c r="AZ25" s="207">
        <v>4</v>
      </c>
      <c r="BA25" s="207">
        <v>4</v>
      </c>
      <c r="BB25" s="207">
        <v>4</v>
      </c>
      <c r="BC25" s="207">
        <v>4</v>
      </c>
      <c r="BD25" s="207">
        <v>4</v>
      </c>
      <c r="BE25" s="207">
        <v>4</v>
      </c>
      <c r="BF25" s="225">
        <v>4</v>
      </c>
      <c r="BG25" s="214">
        <v>4</v>
      </c>
      <c r="BH25" s="214">
        <v>4</v>
      </c>
      <c r="BI25" s="214">
        <v>4</v>
      </c>
      <c r="BJ25" s="216">
        <v>7.38</v>
      </c>
    </row>
    <row r="26" spans="1:62" s="82" customFormat="1" ht="11.4" x14ac:dyDescent="0.2">
      <c r="A26" s="183">
        <v>5</v>
      </c>
      <c r="B26" s="184" t="s">
        <v>115</v>
      </c>
      <c r="C26" s="159">
        <v>3469.7739999999999</v>
      </c>
      <c r="D26" s="159">
        <v>3469.7739999999999</v>
      </c>
      <c r="E26" s="159">
        <v>3469.7739999999999</v>
      </c>
      <c r="F26" s="159">
        <v>3469.7739999999999</v>
      </c>
      <c r="G26" s="159">
        <v>3470.32</v>
      </c>
      <c r="H26" s="159">
        <v>3470.32</v>
      </c>
      <c r="I26" s="159">
        <v>3277.6210000000001</v>
      </c>
      <c r="J26" s="159">
        <v>3277.6210000000001</v>
      </c>
      <c r="K26" s="159">
        <v>3150.4429999999998</v>
      </c>
      <c r="L26" s="159">
        <v>3150.4429999999998</v>
      </c>
      <c r="M26" s="159">
        <v>3150.4429999999998</v>
      </c>
      <c r="N26" s="160">
        <v>2773.491</v>
      </c>
      <c r="O26" s="159">
        <v>2773.491</v>
      </c>
      <c r="P26" s="159">
        <v>2773.491</v>
      </c>
      <c r="Q26" s="159">
        <v>2773.491</v>
      </c>
      <c r="R26" s="159">
        <v>2773.491</v>
      </c>
      <c r="S26" s="159">
        <v>2773.491</v>
      </c>
      <c r="T26" s="159">
        <v>2773.491</v>
      </c>
      <c r="U26" s="159">
        <v>2773.491</v>
      </c>
      <c r="V26" s="159">
        <v>1299.9929999999999</v>
      </c>
      <c r="W26" s="159">
        <v>1191.2</v>
      </c>
      <c r="X26" s="159">
        <v>1191.2</v>
      </c>
      <c r="Y26" s="159">
        <v>1191.2</v>
      </c>
      <c r="Z26" s="160">
        <v>339.37299999999999</v>
      </c>
      <c r="AA26" s="159">
        <v>339.37299999999999</v>
      </c>
      <c r="AB26" s="159">
        <v>339.37299999999999</v>
      </c>
      <c r="AC26" s="159">
        <v>339.37299999999999</v>
      </c>
      <c r="AD26" s="159">
        <v>339.37299999999999</v>
      </c>
      <c r="AE26" s="159">
        <v>339.37299999999999</v>
      </c>
      <c r="AF26" s="159">
        <v>287.76400000000001</v>
      </c>
      <c r="AG26" s="159">
        <v>261.88200000000001</v>
      </c>
      <c r="AH26" s="159">
        <v>261.88200000000001</v>
      </c>
      <c r="AI26" s="159">
        <v>261.88200000000001</v>
      </c>
      <c r="AJ26" s="159">
        <v>229.61699999999999</v>
      </c>
      <c r="AK26" s="159">
        <v>229.61699999999999</v>
      </c>
      <c r="AL26" s="160">
        <v>229.6</v>
      </c>
      <c r="AM26" s="209">
        <v>215.374</v>
      </c>
      <c r="AN26" s="209">
        <v>215.374</v>
      </c>
      <c r="AO26" s="209">
        <v>211.86699999999999</v>
      </c>
      <c r="AP26" s="209">
        <v>211.86699999999999</v>
      </c>
      <c r="AQ26" s="209">
        <v>207.39699999999999</v>
      </c>
      <c r="AR26" s="209">
        <v>204.15699999999998</v>
      </c>
      <c r="AS26" s="209">
        <v>204.12700000000001</v>
      </c>
      <c r="AT26" s="220">
        <v>204.12700000000001</v>
      </c>
      <c r="AU26" s="209">
        <v>184.41200000000001</v>
      </c>
      <c r="AV26" s="209">
        <v>172.24099999999999</v>
      </c>
      <c r="AW26" s="209">
        <v>169.7</v>
      </c>
      <c r="AX26" s="215">
        <v>169.7</v>
      </c>
      <c r="AY26" s="210">
        <v>163.19999999999999</v>
      </c>
      <c r="AZ26" s="210">
        <v>163.15799999999999</v>
      </c>
      <c r="BA26" s="210">
        <v>163.15799999999999</v>
      </c>
      <c r="BB26" s="210">
        <v>163.15799999999999</v>
      </c>
      <c r="BC26" s="210">
        <v>163.15799999999999</v>
      </c>
      <c r="BD26" s="210">
        <v>162.173</v>
      </c>
      <c r="BE26" s="210">
        <v>162.173</v>
      </c>
      <c r="BF26" s="221">
        <v>162.173</v>
      </c>
      <c r="BG26" s="210">
        <v>162.173</v>
      </c>
      <c r="BH26" s="210">
        <v>162.173</v>
      </c>
      <c r="BI26" s="210">
        <v>158.03299999999999</v>
      </c>
      <c r="BJ26" s="216">
        <v>158.03299999999999</v>
      </c>
    </row>
    <row r="27" spans="1:62" s="82" customFormat="1" ht="12" x14ac:dyDescent="0.2">
      <c r="A27" s="191"/>
      <c r="B27" s="192" t="s">
        <v>18</v>
      </c>
      <c r="C27" s="107">
        <v>944.6</v>
      </c>
      <c r="D27" s="107">
        <v>944.6</v>
      </c>
      <c r="E27" s="107">
        <v>944.6</v>
      </c>
      <c r="F27" s="107">
        <v>944.6</v>
      </c>
      <c r="G27" s="107">
        <v>944.6</v>
      </c>
      <c r="H27" s="107">
        <v>944.6</v>
      </c>
      <c r="I27" s="107">
        <v>944.6</v>
      </c>
      <c r="J27" s="107">
        <v>944.6</v>
      </c>
      <c r="K27" s="107">
        <v>944.6</v>
      </c>
      <c r="L27" s="107">
        <v>944.6</v>
      </c>
      <c r="M27" s="107">
        <v>944.6</v>
      </c>
      <c r="N27" s="108">
        <v>944.6</v>
      </c>
      <c r="O27" s="107">
        <v>944.6</v>
      </c>
      <c r="P27" s="107">
        <v>944.6</v>
      </c>
      <c r="Q27" s="107">
        <v>944.6</v>
      </c>
      <c r="R27" s="107">
        <v>944.6</v>
      </c>
      <c r="S27" s="107">
        <v>944.6</v>
      </c>
      <c r="T27" s="107">
        <v>944.6</v>
      </c>
      <c r="U27" s="107">
        <v>944.6</v>
      </c>
      <c r="V27" s="107">
        <v>944.6</v>
      </c>
      <c r="W27" s="107">
        <v>944.6</v>
      </c>
      <c r="X27" s="107">
        <v>944.6</v>
      </c>
      <c r="Y27" s="107">
        <v>944.6</v>
      </c>
      <c r="Z27" s="108">
        <v>157.6</v>
      </c>
      <c r="AA27" s="107">
        <v>157.6</v>
      </c>
      <c r="AB27" s="107">
        <v>157.6</v>
      </c>
      <c r="AC27" s="107">
        <v>157.6</v>
      </c>
      <c r="AD27" s="107">
        <v>157.6</v>
      </c>
      <c r="AE27" s="107">
        <v>157.6</v>
      </c>
      <c r="AF27" s="107">
        <v>157.6</v>
      </c>
      <c r="AG27" s="107">
        <v>157.6</v>
      </c>
      <c r="AH27" s="107">
        <v>157.6</v>
      </c>
      <c r="AI27" s="107">
        <v>157.6</v>
      </c>
      <c r="AJ27" s="107">
        <v>157.6</v>
      </c>
      <c r="AK27" s="107">
        <v>157.6</v>
      </c>
      <c r="AL27" s="108">
        <v>157.6</v>
      </c>
      <c r="AM27" s="205">
        <v>157.6</v>
      </c>
      <c r="AN27" s="205">
        <v>157.6</v>
      </c>
      <c r="AO27" s="205">
        <v>157.6</v>
      </c>
      <c r="AP27" s="205">
        <v>157.6</v>
      </c>
      <c r="AQ27" s="205">
        <v>157.6</v>
      </c>
      <c r="AR27" s="205">
        <v>157.6</v>
      </c>
      <c r="AS27" s="205">
        <v>157.6</v>
      </c>
      <c r="AT27" s="223">
        <v>157.6</v>
      </c>
      <c r="AU27" s="205">
        <v>157.6</v>
      </c>
      <c r="AV27" s="205">
        <v>157.6</v>
      </c>
      <c r="AW27" s="205">
        <v>157.6</v>
      </c>
      <c r="AX27" s="206">
        <v>157.6</v>
      </c>
      <c r="AY27" s="207">
        <v>157.6</v>
      </c>
      <c r="AZ27" s="207">
        <v>157.6</v>
      </c>
      <c r="BA27" s="207">
        <v>157.6</v>
      </c>
      <c r="BB27" s="207">
        <v>157.6</v>
      </c>
      <c r="BC27" s="207">
        <v>157.6</v>
      </c>
      <c r="BD27" s="207">
        <v>157.6</v>
      </c>
      <c r="BE27" s="207">
        <v>157.6</v>
      </c>
      <c r="BF27" s="225">
        <v>157.6</v>
      </c>
      <c r="BG27" s="207">
        <v>157.6</v>
      </c>
      <c r="BH27" s="207">
        <v>157.6</v>
      </c>
      <c r="BI27" s="207">
        <v>157.6</v>
      </c>
      <c r="BJ27" s="208">
        <v>157.6</v>
      </c>
    </row>
    <row r="28" spans="1:62" s="89" customFormat="1" ht="12" x14ac:dyDescent="0.2">
      <c r="A28" s="199"/>
      <c r="B28" s="200" t="s">
        <v>116</v>
      </c>
      <c r="C28" s="161">
        <v>944.6</v>
      </c>
      <c r="D28" s="161">
        <v>944.6</v>
      </c>
      <c r="E28" s="161">
        <v>944.6</v>
      </c>
      <c r="F28" s="161">
        <v>944.6</v>
      </c>
      <c r="G28" s="161">
        <v>944.6</v>
      </c>
      <c r="H28" s="161">
        <v>944.6</v>
      </c>
      <c r="I28" s="161">
        <v>944.6</v>
      </c>
      <c r="J28" s="161">
        <v>944.6</v>
      </c>
      <c r="K28" s="161">
        <v>944.6</v>
      </c>
      <c r="L28" s="161">
        <v>944.6</v>
      </c>
      <c r="M28" s="161">
        <v>944.6</v>
      </c>
      <c r="N28" s="162">
        <v>944.6</v>
      </c>
      <c r="O28" s="161">
        <v>944.6</v>
      </c>
      <c r="P28" s="161">
        <v>944.6</v>
      </c>
      <c r="Q28" s="161">
        <v>944.6</v>
      </c>
      <c r="R28" s="161">
        <v>944.6</v>
      </c>
      <c r="S28" s="161">
        <v>944.6</v>
      </c>
      <c r="T28" s="161">
        <v>944.6</v>
      </c>
      <c r="U28" s="161">
        <v>944.6</v>
      </c>
      <c r="V28" s="161">
        <v>944.6</v>
      </c>
      <c r="W28" s="161">
        <v>944.6</v>
      </c>
      <c r="X28" s="161">
        <v>944.6</v>
      </c>
      <c r="Y28" s="161">
        <v>944.6</v>
      </c>
      <c r="Z28" s="162">
        <v>157.6</v>
      </c>
      <c r="AA28" s="161">
        <v>157.6</v>
      </c>
      <c r="AB28" s="161">
        <v>157.6</v>
      </c>
      <c r="AC28" s="161">
        <v>157.6</v>
      </c>
      <c r="AD28" s="161">
        <v>157.6</v>
      </c>
      <c r="AE28" s="161">
        <v>157.6</v>
      </c>
      <c r="AF28" s="161">
        <v>157.6</v>
      </c>
      <c r="AG28" s="161">
        <v>157.6</v>
      </c>
      <c r="AH28" s="161">
        <v>157.6</v>
      </c>
      <c r="AI28" s="161">
        <v>157.6</v>
      </c>
      <c r="AJ28" s="161">
        <v>157.6</v>
      </c>
      <c r="AK28" s="161">
        <v>157.6</v>
      </c>
      <c r="AL28" s="162">
        <v>157.6</v>
      </c>
      <c r="AM28" s="201">
        <v>157.6</v>
      </c>
      <c r="AN28" s="201">
        <v>157.6</v>
      </c>
      <c r="AO28" s="201">
        <v>157.6</v>
      </c>
      <c r="AP28" s="201">
        <v>157.6</v>
      </c>
      <c r="AQ28" s="201">
        <v>157.6</v>
      </c>
      <c r="AR28" s="201">
        <v>157.6</v>
      </c>
      <c r="AS28" s="201">
        <v>157.6</v>
      </c>
      <c r="AT28" s="231">
        <v>157.6</v>
      </c>
      <c r="AU28" s="201">
        <v>157.6</v>
      </c>
      <c r="AV28" s="201">
        <v>157.6</v>
      </c>
      <c r="AW28" s="201">
        <v>157.6</v>
      </c>
      <c r="AX28" s="202">
        <v>157.6</v>
      </c>
      <c r="AY28" s="203">
        <v>157.6</v>
      </c>
      <c r="AZ28" s="203">
        <v>157.6</v>
      </c>
      <c r="BA28" s="203">
        <v>157.6</v>
      </c>
      <c r="BB28" s="203">
        <v>157.6</v>
      </c>
      <c r="BC28" s="203">
        <v>157.6</v>
      </c>
      <c r="BD28" s="203">
        <v>157.6</v>
      </c>
      <c r="BE28" s="203">
        <v>157.6</v>
      </c>
      <c r="BF28" s="232">
        <v>157.6</v>
      </c>
      <c r="BG28" s="203">
        <v>157.6</v>
      </c>
      <c r="BH28" s="203">
        <v>157.6</v>
      </c>
      <c r="BI28" s="203">
        <v>157.6</v>
      </c>
      <c r="BJ28" s="204">
        <v>157.6</v>
      </c>
    </row>
    <row r="29" spans="1:62" s="82" customFormat="1" ht="12" x14ac:dyDescent="0.2">
      <c r="A29" s="191"/>
      <c r="B29" s="192" t="s">
        <v>36</v>
      </c>
      <c r="C29" s="163">
        <v>2525.174</v>
      </c>
      <c r="D29" s="163">
        <v>2525.174</v>
      </c>
      <c r="E29" s="163">
        <v>2525.174</v>
      </c>
      <c r="F29" s="163">
        <v>2525.174</v>
      </c>
      <c r="G29" s="163">
        <v>2525.7199999999998</v>
      </c>
      <c r="H29" s="163">
        <v>2525.7199999999998</v>
      </c>
      <c r="I29" s="163">
        <v>2333.0210000000002</v>
      </c>
      <c r="J29" s="163">
        <v>2333.0210000000002</v>
      </c>
      <c r="K29" s="163">
        <v>2205.8429999999998</v>
      </c>
      <c r="L29" s="163">
        <v>2205.8429999999998</v>
      </c>
      <c r="M29" s="163">
        <v>2205.8429999999998</v>
      </c>
      <c r="N29" s="164">
        <v>1828.8910000000001</v>
      </c>
      <c r="O29" s="163">
        <v>1828.8910000000001</v>
      </c>
      <c r="P29" s="163">
        <v>1828.8910000000001</v>
      </c>
      <c r="Q29" s="163">
        <v>1828.8910000000001</v>
      </c>
      <c r="R29" s="163">
        <v>1828.8910000000001</v>
      </c>
      <c r="S29" s="163">
        <v>1828.8910000000001</v>
      </c>
      <c r="T29" s="163">
        <v>1828.8910000000001</v>
      </c>
      <c r="U29" s="163">
        <v>1828.8910000000001</v>
      </c>
      <c r="V29" s="163">
        <v>355.39299999999997</v>
      </c>
      <c r="W29" s="163">
        <v>246.6</v>
      </c>
      <c r="X29" s="163">
        <v>246.6</v>
      </c>
      <c r="Y29" s="163">
        <v>246.6</v>
      </c>
      <c r="Z29" s="164">
        <v>181.773</v>
      </c>
      <c r="AA29" s="163">
        <v>181.773</v>
      </c>
      <c r="AB29" s="163">
        <v>181.773</v>
      </c>
      <c r="AC29" s="163">
        <v>181.773</v>
      </c>
      <c r="AD29" s="163">
        <v>181.773</v>
      </c>
      <c r="AE29" s="163">
        <v>181.773</v>
      </c>
      <c r="AF29" s="163">
        <v>130.16399999999999</v>
      </c>
      <c r="AG29" s="163">
        <v>104.282</v>
      </c>
      <c r="AH29" s="163">
        <v>104.282</v>
      </c>
      <c r="AI29" s="163">
        <v>104.282</v>
      </c>
      <c r="AJ29" s="163">
        <v>72.016999999999996</v>
      </c>
      <c r="AK29" s="163">
        <v>72.016999999999996</v>
      </c>
      <c r="AL29" s="164">
        <v>72</v>
      </c>
      <c r="AM29" s="205">
        <v>57.774000000000001</v>
      </c>
      <c r="AN29" s="205">
        <v>57.774000000000001</v>
      </c>
      <c r="AO29" s="205">
        <v>54.267000000000003</v>
      </c>
      <c r="AP29" s="205">
        <v>54.267000000000003</v>
      </c>
      <c r="AQ29" s="205">
        <v>49.796999999999997</v>
      </c>
      <c r="AR29" s="205">
        <v>46.557000000000002</v>
      </c>
      <c r="AS29" s="205">
        <v>46.527000000000001</v>
      </c>
      <c r="AT29" s="223">
        <v>46.527000000000001</v>
      </c>
      <c r="AU29" s="205">
        <v>26.812000000000001</v>
      </c>
      <c r="AV29" s="205">
        <v>14.641</v>
      </c>
      <c r="AW29" s="205">
        <v>12.1</v>
      </c>
      <c r="AX29" s="206">
        <v>12.1</v>
      </c>
      <c r="AY29" s="207">
        <v>5.6</v>
      </c>
      <c r="AZ29" s="207">
        <v>5.5579999999999998</v>
      </c>
      <c r="BA29" s="207">
        <v>5.5579999999999998</v>
      </c>
      <c r="BB29" s="207">
        <v>5.5579999999999998</v>
      </c>
      <c r="BC29" s="207">
        <v>5.5579999999999998</v>
      </c>
      <c r="BD29" s="207">
        <v>4.5730000000000004</v>
      </c>
      <c r="BE29" s="207">
        <v>4.5730000000000004</v>
      </c>
      <c r="BF29" s="225">
        <v>4.5730000000000004</v>
      </c>
      <c r="BG29" s="210">
        <v>4.5730000000000004</v>
      </c>
      <c r="BH29" s="210">
        <v>4.5730000000000004</v>
      </c>
      <c r="BI29" s="210">
        <v>0.433</v>
      </c>
      <c r="BJ29" s="208">
        <v>0.433</v>
      </c>
    </row>
    <row r="30" spans="1:62" s="82" customFormat="1" ht="12" x14ac:dyDescent="0.2">
      <c r="A30" s="191"/>
      <c r="B30" s="192" t="s">
        <v>98</v>
      </c>
      <c r="C30" s="163">
        <v>1051.6759999999999</v>
      </c>
      <c r="D30" s="163">
        <v>1051.6759999999999</v>
      </c>
      <c r="E30" s="163">
        <v>1051.6759999999999</v>
      </c>
      <c r="F30" s="163">
        <v>1051.6759999999999</v>
      </c>
      <c r="G30" s="163">
        <v>1052.222</v>
      </c>
      <c r="H30" s="163">
        <v>1052.222</v>
      </c>
      <c r="I30" s="163">
        <v>859.52300000000002</v>
      </c>
      <c r="J30" s="163">
        <v>859.52300000000002</v>
      </c>
      <c r="K30" s="163">
        <v>732.34500000000003</v>
      </c>
      <c r="L30" s="163">
        <v>732.34500000000003</v>
      </c>
      <c r="M30" s="163">
        <v>732.34500000000003</v>
      </c>
      <c r="N30" s="164">
        <v>355.39299999999997</v>
      </c>
      <c r="O30" s="163">
        <v>355.39299999999997</v>
      </c>
      <c r="P30" s="163">
        <v>355.39299999999997</v>
      </c>
      <c r="Q30" s="163">
        <v>355.39299999999997</v>
      </c>
      <c r="R30" s="163">
        <v>355.39299999999997</v>
      </c>
      <c r="S30" s="163">
        <v>355.39299999999997</v>
      </c>
      <c r="T30" s="163">
        <v>355.39299999999997</v>
      </c>
      <c r="U30" s="163">
        <v>355.39299999999997</v>
      </c>
      <c r="V30" s="163">
        <v>355.39299999999997</v>
      </c>
      <c r="W30" s="163">
        <v>246.6</v>
      </c>
      <c r="X30" s="163">
        <v>246.6</v>
      </c>
      <c r="Y30" s="163">
        <v>246.6</v>
      </c>
      <c r="Z30" s="164">
        <v>181.8</v>
      </c>
      <c r="AA30" s="163">
        <v>181.8</v>
      </c>
      <c r="AB30" s="163">
        <v>181.8</v>
      </c>
      <c r="AC30" s="163">
        <v>181.8</v>
      </c>
      <c r="AD30" s="163">
        <v>181.8</v>
      </c>
      <c r="AE30" s="163">
        <v>181.8</v>
      </c>
      <c r="AF30" s="163">
        <v>130.19999999999999</v>
      </c>
      <c r="AG30" s="163">
        <v>104.282</v>
      </c>
      <c r="AH30" s="163">
        <v>104.282</v>
      </c>
      <c r="AI30" s="163">
        <v>104.282</v>
      </c>
      <c r="AJ30" s="163">
        <v>72.016999999999996</v>
      </c>
      <c r="AK30" s="163"/>
      <c r="AL30" s="164">
        <v>104.282</v>
      </c>
      <c r="AM30" s="213">
        <v>57.8</v>
      </c>
      <c r="AN30" s="213">
        <v>57.8</v>
      </c>
      <c r="AO30" s="213">
        <v>54.3</v>
      </c>
      <c r="AP30" s="213">
        <v>54.3</v>
      </c>
      <c r="AQ30" s="213">
        <v>49.8</v>
      </c>
      <c r="AR30" s="213">
        <v>46.6</v>
      </c>
      <c r="AS30" s="213">
        <v>46.5</v>
      </c>
      <c r="AT30" s="213">
        <v>46.5</v>
      </c>
      <c r="AU30" s="205">
        <v>26.8</v>
      </c>
      <c r="AV30" s="205">
        <v>14.6</v>
      </c>
      <c r="AW30" s="205">
        <v>12.1</v>
      </c>
      <c r="AX30" s="206">
        <v>12.1</v>
      </c>
      <c r="AY30" s="222">
        <v>5.6</v>
      </c>
      <c r="AZ30" s="222">
        <v>5.6</v>
      </c>
      <c r="BA30" s="222">
        <v>5.6</v>
      </c>
      <c r="BB30" s="222">
        <v>5.6</v>
      </c>
      <c r="BC30" s="222">
        <v>5.6</v>
      </c>
      <c r="BD30" s="222">
        <v>4.5999999999999996</v>
      </c>
      <c r="BE30" s="222">
        <v>4.5999999999999996</v>
      </c>
      <c r="BF30" s="222">
        <v>4.5999999999999996</v>
      </c>
      <c r="BG30" s="207">
        <v>4.5999999999999996</v>
      </c>
      <c r="BH30" s="207">
        <v>4.5999999999999996</v>
      </c>
      <c r="BI30" s="207">
        <v>0.4</v>
      </c>
      <c r="BJ30" s="233">
        <v>0.4</v>
      </c>
    </row>
    <row r="31" spans="1:62" s="82" customFormat="1" ht="11.4" x14ac:dyDescent="0.2">
      <c r="A31" s="183">
        <v>6</v>
      </c>
      <c r="B31" s="184" t="s">
        <v>69</v>
      </c>
      <c r="C31" s="165">
        <v>-2753.2</v>
      </c>
      <c r="D31" s="165">
        <v>-2894.3</v>
      </c>
      <c r="E31" s="165">
        <v>83</v>
      </c>
      <c r="F31" s="165">
        <v>-4238.5</v>
      </c>
      <c r="G31" s="165">
        <v>-9334.4</v>
      </c>
      <c r="H31" s="165">
        <v>-8454.9</v>
      </c>
      <c r="I31" s="165">
        <v>-7727.3</v>
      </c>
      <c r="J31" s="165">
        <v>-12933.7</v>
      </c>
      <c r="K31" s="165">
        <v>-16781.3</v>
      </c>
      <c r="L31" s="165">
        <v>-15716.9</v>
      </c>
      <c r="M31" s="165">
        <v>-6172.3</v>
      </c>
      <c r="N31" s="166">
        <v>-3122.5</v>
      </c>
      <c r="O31" s="165">
        <v>-6828.2</v>
      </c>
      <c r="P31" s="165">
        <v>-7061.84</v>
      </c>
      <c r="Q31" s="165">
        <v>3603.6</v>
      </c>
      <c r="R31" s="165">
        <v>-2100.5</v>
      </c>
      <c r="S31" s="165">
        <v>-548</v>
      </c>
      <c r="T31" s="165">
        <v>-10195.9</v>
      </c>
      <c r="U31" s="165">
        <v>-8293.4</v>
      </c>
      <c r="V31" s="165">
        <v>-7465.1</v>
      </c>
      <c r="W31" s="165">
        <v>-13426</v>
      </c>
      <c r="X31" s="165">
        <v>-12990.7</v>
      </c>
      <c r="Y31" s="165">
        <v>-9771.2999999999993</v>
      </c>
      <c r="Z31" s="166">
        <v>-3946.4</v>
      </c>
      <c r="AA31" s="165">
        <v>-6801.7</v>
      </c>
      <c r="AB31" s="165">
        <v>-7945.1</v>
      </c>
      <c r="AC31" s="165">
        <v>-1938</v>
      </c>
      <c r="AD31" s="165">
        <v>-6305.1</v>
      </c>
      <c r="AE31" s="165">
        <v>-8054.9</v>
      </c>
      <c r="AF31" s="165">
        <v>-22594.1</v>
      </c>
      <c r="AG31" s="165">
        <v>-23998.799999999999</v>
      </c>
      <c r="AH31" s="165">
        <v>-26521.599999999999</v>
      </c>
      <c r="AI31" s="165">
        <v>-27995.8</v>
      </c>
      <c r="AJ31" s="165">
        <v>-21556.54</v>
      </c>
      <c r="AK31" s="165">
        <v>-17439.099999999999</v>
      </c>
      <c r="AL31" s="166">
        <v>7987.5</v>
      </c>
      <c r="AM31" s="219">
        <v>-2786.5</v>
      </c>
      <c r="AN31" s="219">
        <v>7205.9</v>
      </c>
      <c r="AO31" s="219">
        <v>7313.6</v>
      </c>
      <c r="AP31" s="219">
        <v>3327.9</v>
      </c>
      <c r="AQ31" s="219">
        <v>-353.3</v>
      </c>
      <c r="AR31" s="219">
        <v>-3423.6</v>
      </c>
      <c r="AS31" s="219">
        <v>-3364.2</v>
      </c>
      <c r="AT31" s="219">
        <v>-823.1</v>
      </c>
      <c r="AU31" s="219">
        <v>-6984.4</v>
      </c>
      <c r="AV31" s="219">
        <v>-3926.2</v>
      </c>
      <c r="AW31" s="219">
        <v>-588.70000000000005</v>
      </c>
      <c r="AX31" s="234">
        <v>16711.5</v>
      </c>
      <c r="AY31" s="222">
        <v>9815.2999999999993</v>
      </c>
      <c r="AZ31" s="222">
        <v>6119.6</v>
      </c>
      <c r="BA31" s="222">
        <v>17943.7</v>
      </c>
      <c r="BB31" s="222">
        <v>9033.2999999999993</v>
      </c>
      <c r="BC31" s="222">
        <v>-1412</v>
      </c>
      <c r="BD31" s="222">
        <v>-12238.9</v>
      </c>
      <c r="BE31" s="222">
        <v>-6556.3</v>
      </c>
      <c r="BF31" s="222">
        <v>-232.8</v>
      </c>
      <c r="BG31" s="222">
        <v>-948.4</v>
      </c>
      <c r="BH31" s="222">
        <v>995</v>
      </c>
      <c r="BI31" s="222">
        <v>-6426.8</v>
      </c>
      <c r="BJ31" s="233">
        <v>20765</v>
      </c>
    </row>
    <row r="32" spans="1:62" s="82" customFormat="1" ht="12" x14ac:dyDescent="0.2">
      <c r="A32" s="183"/>
      <c r="B32" s="192" t="s">
        <v>70</v>
      </c>
      <c r="C32" s="163">
        <v>-2753.2</v>
      </c>
      <c r="D32" s="163">
        <v>-2894.3</v>
      </c>
      <c r="E32" s="163">
        <v>83</v>
      </c>
      <c r="F32" s="163">
        <v>-4238.5</v>
      </c>
      <c r="G32" s="163">
        <v>-9334.4</v>
      </c>
      <c r="H32" s="163">
        <v>-8454.9</v>
      </c>
      <c r="I32" s="163">
        <v>-7727.3</v>
      </c>
      <c r="J32" s="163">
        <v>-12933.7</v>
      </c>
      <c r="K32" s="163">
        <v>-16781.3</v>
      </c>
      <c r="L32" s="163">
        <v>-15716.9</v>
      </c>
      <c r="M32" s="163">
        <v>-6172.3</v>
      </c>
      <c r="N32" s="164">
        <v>-3122.5</v>
      </c>
      <c r="O32" s="163">
        <v>-6828.2</v>
      </c>
      <c r="P32" s="163">
        <v>-7061.84</v>
      </c>
      <c r="Q32" s="163">
        <v>3603.6</v>
      </c>
      <c r="R32" s="163">
        <v>-2100.5</v>
      </c>
      <c r="S32" s="163">
        <v>-548</v>
      </c>
      <c r="T32" s="163">
        <v>-10195.9</v>
      </c>
      <c r="U32" s="163">
        <v>-8293.4</v>
      </c>
      <c r="V32" s="163">
        <v>-7465.1</v>
      </c>
      <c r="W32" s="163">
        <v>-13426</v>
      </c>
      <c r="X32" s="163">
        <v>-12990.7</v>
      </c>
      <c r="Y32" s="163">
        <v>-9771.2999999999993</v>
      </c>
      <c r="Z32" s="164">
        <v>-3946.4</v>
      </c>
      <c r="AA32" s="163">
        <v>-6801.7</v>
      </c>
      <c r="AB32" s="163">
        <v>-7945.1</v>
      </c>
      <c r="AC32" s="163">
        <v>-1938</v>
      </c>
      <c r="AD32" s="163">
        <v>-6305.1</v>
      </c>
      <c r="AE32" s="163">
        <v>-8054.9</v>
      </c>
      <c r="AF32" s="163">
        <v>-22594.1</v>
      </c>
      <c r="AG32" s="163">
        <v>-23998.799999999999</v>
      </c>
      <c r="AH32" s="163">
        <v>-26521.599999999999</v>
      </c>
      <c r="AI32" s="163">
        <v>-27995.8</v>
      </c>
      <c r="AJ32" s="163">
        <v>-21556.54</v>
      </c>
      <c r="AK32" s="163">
        <v>-17439.099999999999</v>
      </c>
      <c r="AL32" s="164">
        <v>7987.5</v>
      </c>
      <c r="AM32" s="213">
        <v>-2786.5</v>
      </c>
      <c r="AN32" s="213">
        <v>7205.9</v>
      </c>
      <c r="AO32" s="213">
        <v>7313.6</v>
      </c>
      <c r="AP32" s="213">
        <v>3327.9</v>
      </c>
      <c r="AQ32" s="213">
        <v>-353.3</v>
      </c>
      <c r="AR32" s="213">
        <v>-3423.6</v>
      </c>
      <c r="AS32" s="235">
        <v>-3364.2</v>
      </c>
      <c r="AT32" s="213">
        <v>-823.1</v>
      </c>
      <c r="AU32" s="219">
        <v>-6984.4</v>
      </c>
      <c r="AV32" s="219">
        <v>-3926.2</v>
      </c>
      <c r="AW32" s="219">
        <v>-588.70000000000005</v>
      </c>
      <c r="AX32" s="236">
        <v>16711.5</v>
      </c>
      <c r="AY32" s="214">
        <v>9815.2999999999993</v>
      </c>
      <c r="AZ32" s="214">
        <v>6119.6</v>
      </c>
      <c r="BA32" s="214">
        <v>17943.7</v>
      </c>
      <c r="BB32" s="214">
        <v>9033.2999999999993</v>
      </c>
      <c r="BC32" s="214">
        <v>-1412</v>
      </c>
      <c r="BD32" s="214">
        <v>-12238.9</v>
      </c>
      <c r="BE32" s="237">
        <v>-6556.3</v>
      </c>
      <c r="BF32" s="214">
        <v>-232.8</v>
      </c>
      <c r="BG32" s="222">
        <v>-948.4</v>
      </c>
      <c r="BH32" s="222">
        <v>995</v>
      </c>
      <c r="BI32" s="222">
        <v>-6426.8</v>
      </c>
      <c r="BJ32" s="238">
        <v>20765</v>
      </c>
    </row>
    <row r="33" spans="1:62" s="82" customFormat="1" ht="11.4" x14ac:dyDescent="0.2">
      <c r="A33" s="183">
        <v>7</v>
      </c>
      <c r="B33" s="184" t="s">
        <v>125</v>
      </c>
      <c r="C33" s="159">
        <v>87201.707999999999</v>
      </c>
      <c r="D33" s="159">
        <v>87060.607999999993</v>
      </c>
      <c r="E33" s="159">
        <v>90037.907999999996</v>
      </c>
      <c r="F33" s="159">
        <v>88196.407999999996</v>
      </c>
      <c r="G33" s="159">
        <v>84301.053999999989</v>
      </c>
      <c r="H33" s="159">
        <v>83680.600000000006</v>
      </c>
      <c r="I33" s="159">
        <v>85555.635000000009</v>
      </c>
      <c r="J33" s="159">
        <v>84700.235000000001</v>
      </c>
      <c r="K33" s="159">
        <v>81245.301000000007</v>
      </c>
      <c r="L33" s="159">
        <v>82252.667000000001</v>
      </c>
      <c r="M33" s="159">
        <v>87362.837999999989</v>
      </c>
      <c r="N33" s="160">
        <v>96181.366999999998</v>
      </c>
      <c r="O33" s="159">
        <v>92475.663</v>
      </c>
      <c r="P33" s="159">
        <v>93242.027000000002</v>
      </c>
      <c r="Q33" s="159">
        <v>102782.467</v>
      </c>
      <c r="R33" s="159">
        <v>100276.04799999998</v>
      </c>
      <c r="S33" s="159">
        <v>100316.86</v>
      </c>
      <c r="T33" s="159">
        <v>93490.92300000001</v>
      </c>
      <c r="U33" s="159">
        <v>96393.42300000001</v>
      </c>
      <c r="V33" s="159">
        <v>95748.225000000006</v>
      </c>
      <c r="W33" s="159">
        <v>93803.532000000007</v>
      </c>
      <c r="X33" s="159">
        <v>94238.832000000009</v>
      </c>
      <c r="Y33" s="159">
        <v>95548.231999999989</v>
      </c>
      <c r="Z33" s="160">
        <v>107292.708</v>
      </c>
      <c r="AA33" s="159">
        <v>104437.408</v>
      </c>
      <c r="AB33" s="159">
        <v>102521.01</v>
      </c>
      <c r="AC33" s="159">
        <v>106384.10100000002</v>
      </c>
      <c r="AD33" s="159">
        <v>102017.00100000002</v>
      </c>
      <c r="AE33" s="159">
        <v>100092.42100000002</v>
      </c>
      <c r="AF33" s="159">
        <v>92621.612000000023</v>
      </c>
      <c r="AG33" s="159">
        <v>91184.097699999984</v>
      </c>
      <c r="AH33" s="159">
        <v>88661.29700000002</v>
      </c>
      <c r="AI33" s="159">
        <v>86787.097000000009</v>
      </c>
      <c r="AJ33" s="159">
        <v>92600.15</v>
      </c>
      <c r="AK33" s="159">
        <v>96717.590700000001</v>
      </c>
      <c r="AL33" s="160">
        <v>128861.23500000002</v>
      </c>
      <c r="AM33" s="219">
        <v>118073.00900000001</v>
      </c>
      <c r="AN33" s="219">
        <v>128065.40900000001</v>
      </c>
      <c r="AO33" s="219">
        <v>128169.60200000001</v>
      </c>
      <c r="AP33" s="219">
        <v>124183.902</v>
      </c>
      <c r="AQ33" s="219">
        <v>120498.232</v>
      </c>
      <c r="AR33" s="219">
        <v>117684.69200000001</v>
      </c>
      <c r="AS33" s="219">
        <v>117744.06300000001</v>
      </c>
      <c r="AT33" s="219">
        <v>117983.89899999999</v>
      </c>
      <c r="AU33" s="219">
        <v>111586.03200000001</v>
      </c>
      <c r="AV33" s="219">
        <v>114632.061</v>
      </c>
      <c r="AW33" s="219">
        <v>126776.27</v>
      </c>
      <c r="AX33" s="215">
        <v>159571.22</v>
      </c>
      <c r="AY33" s="222">
        <v>152668.5</v>
      </c>
      <c r="AZ33" s="222">
        <v>148972.77799999999</v>
      </c>
      <c r="BA33" s="222">
        <v>160796.87800000003</v>
      </c>
      <c r="BB33" s="222">
        <v>151886.478</v>
      </c>
      <c r="BC33" s="222">
        <v>142941.17800000001</v>
      </c>
      <c r="BD33" s="222">
        <v>135113.29300000001</v>
      </c>
      <c r="BE33" s="222">
        <v>139520.454</v>
      </c>
      <c r="BF33" s="222">
        <v>145843.954</v>
      </c>
      <c r="BG33" s="222">
        <v>144628.35399999999</v>
      </c>
      <c r="BH33" s="222">
        <v>157657.54999999999</v>
      </c>
      <c r="BI33" s="222">
        <v>158481.60999999999</v>
      </c>
      <c r="BJ33" s="216">
        <v>200093.57</v>
      </c>
    </row>
    <row r="34" spans="1:62" s="82" customFormat="1" ht="12" x14ac:dyDescent="0.2">
      <c r="A34" s="239"/>
      <c r="B34" s="192" t="s">
        <v>126</v>
      </c>
      <c r="C34" s="107">
        <v>67135.858999999997</v>
      </c>
      <c r="D34" s="107">
        <v>66994.758999999991</v>
      </c>
      <c r="E34" s="107">
        <v>69895.558999999994</v>
      </c>
      <c r="F34" s="107">
        <v>67914.058999999994</v>
      </c>
      <c r="G34" s="107">
        <v>63128.158999999992</v>
      </c>
      <c r="H34" s="107">
        <v>63761.205999999998</v>
      </c>
      <c r="I34" s="107">
        <v>65428.789000000004</v>
      </c>
      <c r="J34" s="107">
        <v>62766.569000000003</v>
      </c>
      <c r="K34" s="107">
        <v>59386.039000000004</v>
      </c>
      <c r="L34" s="107">
        <v>61473.4</v>
      </c>
      <c r="M34" s="107">
        <v>67175.377999999997</v>
      </c>
      <c r="N34" s="108">
        <v>78343.562000000005</v>
      </c>
      <c r="O34" s="107">
        <v>74639.067999999999</v>
      </c>
      <c r="P34" s="107">
        <v>75406.032000000007</v>
      </c>
      <c r="Q34" s="107">
        <v>85294.502000000008</v>
      </c>
      <c r="R34" s="107">
        <v>82019.862999999983</v>
      </c>
      <c r="S34" s="107">
        <v>82063.012999999992</v>
      </c>
      <c r="T34" s="107">
        <v>74291.937000000005</v>
      </c>
      <c r="U34" s="107">
        <v>77061.914000000004</v>
      </c>
      <c r="V34" s="107">
        <v>77806.394</v>
      </c>
      <c r="W34" s="107">
        <v>75160.663</v>
      </c>
      <c r="X34" s="107">
        <v>75267.187000000005</v>
      </c>
      <c r="Y34" s="107">
        <v>76733.303</v>
      </c>
      <c r="Z34" s="108">
        <v>87079.612999999998</v>
      </c>
      <c r="AA34" s="107">
        <v>84398.548999999999</v>
      </c>
      <c r="AB34" s="107">
        <v>82483.767000000007</v>
      </c>
      <c r="AC34" s="107">
        <v>86240.09</v>
      </c>
      <c r="AD34" s="107">
        <v>82014.026000000013</v>
      </c>
      <c r="AE34" s="107">
        <v>80252.185000000012</v>
      </c>
      <c r="AF34" s="107">
        <v>70746.557000000015</v>
      </c>
      <c r="AG34" s="107">
        <v>69466.489699999991</v>
      </c>
      <c r="AH34" s="107">
        <v>66960.853000000017</v>
      </c>
      <c r="AI34" s="107">
        <v>65277.02</v>
      </c>
      <c r="AJ34" s="107">
        <v>71210.762999999992</v>
      </c>
      <c r="AK34" s="107">
        <v>75054.703699999998</v>
      </c>
      <c r="AL34" s="108">
        <v>104019.46500000001</v>
      </c>
      <c r="AM34" s="213">
        <v>93438.489000000001</v>
      </c>
      <c r="AN34" s="213">
        <v>103790.53400000001</v>
      </c>
      <c r="AO34" s="213">
        <v>104476.64</v>
      </c>
      <c r="AP34" s="213">
        <v>100390.43</v>
      </c>
      <c r="AQ34" s="213">
        <v>96289.83</v>
      </c>
      <c r="AR34" s="213">
        <v>91829.10500000001</v>
      </c>
      <c r="AS34" s="213">
        <v>90719.507000000012</v>
      </c>
      <c r="AT34" s="213">
        <v>91152.377999999997</v>
      </c>
      <c r="AU34" s="217">
        <v>85486.569000000003</v>
      </c>
      <c r="AV34" s="217">
        <v>88954.835000000006</v>
      </c>
      <c r="AW34" s="217">
        <v>100743.15</v>
      </c>
      <c r="AX34" s="224">
        <v>133128.72499999998</v>
      </c>
      <c r="AY34" s="214">
        <v>126231.1</v>
      </c>
      <c r="AZ34" s="214">
        <v>121882.897</v>
      </c>
      <c r="BA34" s="214">
        <v>132916.43</v>
      </c>
      <c r="BB34" s="214">
        <v>124147.372</v>
      </c>
      <c r="BC34" s="214">
        <v>114729.505</v>
      </c>
      <c r="BD34" s="214">
        <v>106823.516</v>
      </c>
      <c r="BE34" s="214">
        <v>107226.88500000001</v>
      </c>
      <c r="BF34" s="214">
        <v>113649.34</v>
      </c>
      <c r="BG34" s="214">
        <v>111506.872</v>
      </c>
      <c r="BH34" s="214">
        <v>124838.73800000001</v>
      </c>
      <c r="BI34" s="214">
        <v>122475.46800000002</v>
      </c>
      <c r="BJ34" s="226">
        <v>158377.19100000002</v>
      </c>
    </row>
    <row r="35" spans="1:62" s="89" customFormat="1" ht="12" x14ac:dyDescent="0.25">
      <c r="A35" s="240"/>
      <c r="B35" s="200" t="s">
        <v>127</v>
      </c>
      <c r="C35" s="86">
        <v>6944.41</v>
      </c>
      <c r="D35" s="86">
        <v>5553.31</v>
      </c>
      <c r="E35" s="86">
        <v>15800.61</v>
      </c>
      <c r="F35" s="86">
        <v>11479.11</v>
      </c>
      <c r="G35" s="86">
        <v>3763.21</v>
      </c>
      <c r="H35" s="86">
        <v>7129.8059999999987</v>
      </c>
      <c r="I35" s="86">
        <v>7757.34</v>
      </c>
      <c r="J35" s="86">
        <v>6221.9449999999961</v>
      </c>
      <c r="K35" s="86">
        <v>1922.915</v>
      </c>
      <c r="L35" s="86">
        <v>4800.2759999999962</v>
      </c>
      <c r="M35" s="86">
        <v>7887.7539999999999</v>
      </c>
      <c r="N35" s="106">
        <v>12507.161999999998</v>
      </c>
      <c r="O35" s="86">
        <v>10952.643999999997</v>
      </c>
      <c r="P35" s="86">
        <v>10719.608</v>
      </c>
      <c r="Q35" s="86">
        <v>25685.077000000005</v>
      </c>
      <c r="R35" s="86">
        <v>19543.688000000002</v>
      </c>
      <c r="S35" s="86">
        <v>18876.838</v>
      </c>
      <c r="T35" s="86">
        <v>10879.737000000003</v>
      </c>
      <c r="U35" s="86">
        <v>13997.214000000002</v>
      </c>
      <c r="V35" s="86">
        <v>18044.419000000002</v>
      </c>
      <c r="W35" s="86">
        <v>13536.038000000004</v>
      </c>
      <c r="X35" s="86">
        <v>13142.462000000003</v>
      </c>
      <c r="Y35" s="86">
        <v>12555.578000000005</v>
      </c>
      <c r="Z35" s="106">
        <v>14938.988000000003</v>
      </c>
      <c r="AA35" s="86">
        <v>12382.924000000003</v>
      </c>
      <c r="AB35" s="86">
        <v>14606.142000000002</v>
      </c>
      <c r="AC35" s="86">
        <v>20103.965000000004</v>
      </c>
      <c r="AD35" s="86">
        <v>15755.200999999999</v>
      </c>
      <c r="AE35" s="86">
        <v>11883.36</v>
      </c>
      <c r="AF35" s="86">
        <v>-2877.268</v>
      </c>
      <c r="AG35" s="86">
        <v>-527.0360000000037</v>
      </c>
      <c r="AH35" s="86">
        <v>-2995.7720000000008</v>
      </c>
      <c r="AI35" s="86">
        <v>-4607.1050000000032</v>
      </c>
      <c r="AJ35" s="86">
        <v>2853.8129999999983</v>
      </c>
      <c r="AK35" s="86">
        <v>6921.0779999999977</v>
      </c>
      <c r="AL35" s="106">
        <v>32070.322</v>
      </c>
      <c r="AM35" s="241">
        <v>13909.388999999999</v>
      </c>
      <c r="AN35" s="241">
        <v>23911.934000000001</v>
      </c>
      <c r="AO35" s="241">
        <v>29471.54</v>
      </c>
      <c r="AP35" s="242">
        <v>27496.305000000004</v>
      </c>
      <c r="AQ35" s="242">
        <v>24920.204999999998</v>
      </c>
      <c r="AR35" s="242">
        <v>27778.655000000002</v>
      </c>
      <c r="AS35" s="242">
        <v>27187.356</v>
      </c>
      <c r="AT35" s="242">
        <v>28027.728000000003</v>
      </c>
      <c r="AU35" s="217">
        <v>21881.294000000002</v>
      </c>
      <c r="AV35" s="217">
        <v>25190.16</v>
      </c>
      <c r="AW35" s="217">
        <v>28794.075000000001</v>
      </c>
      <c r="AX35" s="243">
        <v>50132.95</v>
      </c>
      <c r="AY35" s="244">
        <v>42129.7</v>
      </c>
      <c r="AZ35" s="244">
        <v>38683.171999999999</v>
      </c>
      <c r="BA35" s="244">
        <v>48242.305</v>
      </c>
      <c r="BB35" s="245">
        <v>41279.146999999997</v>
      </c>
      <c r="BC35" s="245">
        <v>30662.28</v>
      </c>
      <c r="BD35" s="245">
        <v>24082.440999999992</v>
      </c>
      <c r="BE35" s="245">
        <v>25505.31</v>
      </c>
      <c r="BF35" s="245">
        <v>31006.465</v>
      </c>
      <c r="BG35" s="218">
        <v>28285.796999999999</v>
      </c>
      <c r="BH35" s="218">
        <v>38480.363000000005</v>
      </c>
      <c r="BI35" s="218">
        <v>30948.093000000004</v>
      </c>
      <c r="BJ35" s="246">
        <v>52436.316000000006</v>
      </c>
    </row>
    <row r="36" spans="1:62" s="89" customFormat="1" ht="12" x14ac:dyDescent="0.25">
      <c r="A36" s="240"/>
      <c r="B36" s="200" t="s">
        <v>128</v>
      </c>
      <c r="C36" s="86">
        <v>60191.448999999993</v>
      </c>
      <c r="D36" s="86">
        <v>61441.448999999993</v>
      </c>
      <c r="E36" s="86">
        <v>54094.948999999993</v>
      </c>
      <c r="F36" s="86">
        <v>56434.948999999993</v>
      </c>
      <c r="G36" s="86">
        <v>59364.948999999993</v>
      </c>
      <c r="H36" s="86">
        <v>56631.4</v>
      </c>
      <c r="I36" s="86">
        <v>57671.449000000001</v>
      </c>
      <c r="J36" s="86">
        <v>56544.624000000003</v>
      </c>
      <c r="K36" s="86">
        <v>57463.124000000003</v>
      </c>
      <c r="L36" s="86">
        <v>56673.124000000003</v>
      </c>
      <c r="M36" s="86">
        <v>59287.623999999996</v>
      </c>
      <c r="N36" s="106">
        <v>65836.399999999994</v>
      </c>
      <c r="O36" s="86">
        <v>63686.423999999999</v>
      </c>
      <c r="P36" s="86">
        <v>64686.423999999999</v>
      </c>
      <c r="Q36" s="86">
        <v>59609.424999999996</v>
      </c>
      <c r="R36" s="86">
        <v>62476.174999999988</v>
      </c>
      <c r="S36" s="86">
        <v>63186.174999999988</v>
      </c>
      <c r="T36" s="86">
        <v>63412.2</v>
      </c>
      <c r="U36" s="86">
        <v>63064.7</v>
      </c>
      <c r="V36" s="86">
        <v>59761.974999999999</v>
      </c>
      <c r="W36" s="86">
        <v>61624.624999999993</v>
      </c>
      <c r="X36" s="86">
        <v>62124.724999999999</v>
      </c>
      <c r="Y36" s="86">
        <v>64177.724999999999</v>
      </c>
      <c r="Z36" s="106">
        <v>72140.625</v>
      </c>
      <c r="AA36" s="86">
        <v>72015.625</v>
      </c>
      <c r="AB36" s="86">
        <v>67877.625</v>
      </c>
      <c r="AC36" s="86">
        <v>66136.125000000015</v>
      </c>
      <c r="AD36" s="86">
        <v>66258.825000000012</v>
      </c>
      <c r="AE36" s="86">
        <v>68368.825000000012</v>
      </c>
      <c r="AF36" s="86">
        <v>73623.825000000012</v>
      </c>
      <c r="AG36" s="86">
        <v>69993.525699999998</v>
      </c>
      <c r="AH36" s="86">
        <v>69956.625000000015</v>
      </c>
      <c r="AI36" s="86">
        <v>69884.125000000015</v>
      </c>
      <c r="AJ36" s="86">
        <v>68356.95</v>
      </c>
      <c r="AK36" s="86">
        <v>68133.625700000004</v>
      </c>
      <c r="AL36" s="106">
        <v>71949.143000000011</v>
      </c>
      <c r="AM36" s="241">
        <v>79529.100000000006</v>
      </c>
      <c r="AN36" s="241">
        <v>79878.600000000006</v>
      </c>
      <c r="AO36" s="241">
        <v>75005.100000000006</v>
      </c>
      <c r="AP36" s="241">
        <v>72894.125</v>
      </c>
      <c r="AQ36" s="241">
        <v>71369.625</v>
      </c>
      <c r="AR36" s="241">
        <v>64050.45</v>
      </c>
      <c r="AS36" s="241">
        <v>63532.151000000005</v>
      </c>
      <c r="AT36" s="241">
        <v>63124.65</v>
      </c>
      <c r="AU36" s="241">
        <v>63605.275000000001</v>
      </c>
      <c r="AV36" s="241">
        <v>63764.675000000003</v>
      </c>
      <c r="AW36" s="241">
        <v>71949.075000000012</v>
      </c>
      <c r="AX36" s="243">
        <v>82995.774999999994</v>
      </c>
      <c r="AY36" s="244">
        <v>84101.4</v>
      </c>
      <c r="AZ36" s="244">
        <v>83199.725000000006</v>
      </c>
      <c r="BA36" s="244">
        <v>84674.125000000015</v>
      </c>
      <c r="BB36" s="244">
        <v>82868.225000000006</v>
      </c>
      <c r="BC36" s="244">
        <v>84067.225000000006</v>
      </c>
      <c r="BD36" s="244">
        <v>82741.075000000012</v>
      </c>
      <c r="BE36" s="244">
        <v>81721.575000000012</v>
      </c>
      <c r="BF36" s="244">
        <v>82642.875000000015</v>
      </c>
      <c r="BG36" s="245">
        <v>83221.075000000012</v>
      </c>
      <c r="BH36" s="244">
        <v>86358.375000000015</v>
      </c>
      <c r="BI36" s="244">
        <v>91527.375000000015</v>
      </c>
      <c r="BJ36" s="246">
        <v>105940.87500000001</v>
      </c>
    </row>
    <row r="37" spans="1:62" s="82" customFormat="1" ht="12.6" thickBot="1" x14ac:dyDescent="0.3">
      <c r="A37" s="247"/>
      <c r="B37" s="248" t="s">
        <v>24</v>
      </c>
      <c r="C37" s="249">
        <v>20065.848999999998</v>
      </c>
      <c r="D37" s="249">
        <v>20065.848999999998</v>
      </c>
      <c r="E37" s="249">
        <v>20142.348999999998</v>
      </c>
      <c r="F37" s="249">
        <v>20282.348999999998</v>
      </c>
      <c r="G37" s="249">
        <v>21172.895</v>
      </c>
      <c r="H37" s="249">
        <v>19919.394</v>
      </c>
      <c r="I37" s="249">
        <v>20126.845999999998</v>
      </c>
      <c r="J37" s="249">
        <v>21933.665999999997</v>
      </c>
      <c r="K37" s="249">
        <v>21859.261999999999</v>
      </c>
      <c r="L37" s="249">
        <v>20779.267</v>
      </c>
      <c r="M37" s="249">
        <v>20187.46</v>
      </c>
      <c r="N37" s="250">
        <v>17837.805</v>
      </c>
      <c r="O37" s="249">
        <v>17836.595000000001</v>
      </c>
      <c r="P37" s="249">
        <v>17835.994999999999</v>
      </c>
      <c r="Q37" s="249">
        <v>17487.965</v>
      </c>
      <c r="R37" s="249">
        <v>18256.184999999994</v>
      </c>
      <c r="S37" s="249">
        <v>18253.847000000002</v>
      </c>
      <c r="T37" s="249">
        <v>19198.986000000001</v>
      </c>
      <c r="U37" s="249">
        <v>19331.509000000002</v>
      </c>
      <c r="V37" s="249">
        <v>17941.831000000002</v>
      </c>
      <c r="W37" s="249">
        <v>18642.868999999999</v>
      </c>
      <c r="X37" s="249">
        <v>18971.645</v>
      </c>
      <c r="Y37" s="249">
        <v>18814.928999999996</v>
      </c>
      <c r="Z37" s="250">
        <v>20213.095000000001</v>
      </c>
      <c r="AA37" s="249">
        <v>20038.859</v>
      </c>
      <c r="AB37" s="249">
        <v>20037.242999999995</v>
      </c>
      <c r="AC37" s="249">
        <v>20144.010999999999</v>
      </c>
      <c r="AD37" s="249">
        <v>20002.974999999999</v>
      </c>
      <c r="AE37" s="249">
        <v>19840.236000000001</v>
      </c>
      <c r="AF37" s="249">
        <v>21875.055</v>
      </c>
      <c r="AG37" s="249">
        <v>21717.608</v>
      </c>
      <c r="AH37" s="249">
        <v>21700.444</v>
      </c>
      <c r="AI37" s="249">
        <v>21510.076999999997</v>
      </c>
      <c r="AJ37" s="249">
        <v>21389.386999999999</v>
      </c>
      <c r="AK37" s="249">
        <v>21662.886999999999</v>
      </c>
      <c r="AL37" s="250">
        <v>24841.77</v>
      </c>
      <c r="AM37" s="251">
        <v>24634.52</v>
      </c>
      <c r="AN37" s="251">
        <v>24274.875</v>
      </c>
      <c r="AO37" s="251">
        <v>23692.962</v>
      </c>
      <c r="AP37" s="251">
        <v>23793.471999999998</v>
      </c>
      <c r="AQ37" s="251">
        <v>24208.402000000002</v>
      </c>
      <c r="AR37" s="251">
        <v>25855.587000000003</v>
      </c>
      <c r="AS37" s="251">
        <v>27024.556</v>
      </c>
      <c r="AT37" s="251">
        <v>26831.520999999997</v>
      </c>
      <c r="AU37" s="251">
        <v>26099.463</v>
      </c>
      <c r="AV37" s="251">
        <v>25677.225999999999</v>
      </c>
      <c r="AW37" s="251">
        <v>26033.119999999999</v>
      </c>
      <c r="AX37" s="252">
        <v>26442.494999999995</v>
      </c>
      <c r="AY37" s="253">
        <v>26437.4</v>
      </c>
      <c r="AZ37" s="253">
        <v>27089.881000000001</v>
      </c>
      <c r="BA37" s="253">
        <v>27880.448000000004</v>
      </c>
      <c r="BB37" s="253">
        <v>27739.106</v>
      </c>
      <c r="BC37" s="253">
        <v>28211.673000000003</v>
      </c>
      <c r="BD37" s="253">
        <v>28289.777000000002</v>
      </c>
      <c r="BE37" s="253">
        <v>32293.568999999996</v>
      </c>
      <c r="BF37" s="253">
        <v>32194.613999999994</v>
      </c>
      <c r="BG37" s="253">
        <v>33121.481999999989</v>
      </c>
      <c r="BH37" s="253">
        <v>32818.811999999991</v>
      </c>
      <c r="BI37" s="253">
        <v>36006.141999999985</v>
      </c>
      <c r="BJ37" s="254">
        <v>41716.378999999994</v>
      </c>
    </row>
    <row r="38" spans="1:62" s="82" customFormat="1" ht="10.8" thickTop="1" x14ac:dyDescent="0.2">
      <c r="A38" s="255"/>
      <c r="B38" s="256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</row>
    <row r="39" spans="1:62" x14ac:dyDescent="0.15">
      <c r="A39" s="173"/>
    </row>
    <row r="40" spans="1:62" x14ac:dyDescent="0.15">
      <c r="A40" s="173"/>
    </row>
    <row r="42" spans="1:62" x14ac:dyDescent="0.15">
      <c r="F42" s="258"/>
      <c r="G42" s="258"/>
      <c r="H42" s="258"/>
      <c r="I42" s="258"/>
      <c r="J42" s="258"/>
      <c r="K42" s="258"/>
    </row>
    <row r="44" spans="1:62" x14ac:dyDescent="0.15">
      <c r="I44" s="258"/>
      <c r="J44" s="258"/>
      <c r="K44" s="258"/>
    </row>
  </sheetData>
  <mergeCells count="10">
    <mergeCell ref="O4:Z4"/>
    <mergeCell ref="AA4:AL4"/>
    <mergeCell ref="AM4:AX4"/>
    <mergeCell ref="AY4:BJ4"/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topLeftCell="F19" workbookViewId="0">
      <selection activeCell="M28" sqref="M28"/>
    </sheetView>
  </sheetViews>
  <sheetFormatPr defaultColWidth="11" defaultRowHeight="9.6" x14ac:dyDescent="0.2"/>
  <cols>
    <col min="1" max="1" width="2.5546875" style="2" customWidth="1"/>
    <col min="2" max="2" width="27.88671875" style="2" customWidth="1"/>
    <col min="3" max="3" width="9.6640625" style="2" customWidth="1"/>
    <col min="4" max="4" width="9.6640625" style="318" customWidth="1"/>
    <col min="5" max="14" width="9.6640625" style="2" customWidth="1"/>
    <col min="15" max="256" width="11" style="2"/>
    <col min="257" max="257" width="2.5546875" style="2" customWidth="1"/>
    <col min="258" max="258" width="27.88671875" style="2" customWidth="1"/>
    <col min="259" max="270" width="9.6640625" style="2" customWidth="1"/>
    <col min="271" max="512" width="11" style="2"/>
    <col min="513" max="513" width="2.5546875" style="2" customWidth="1"/>
    <col min="514" max="514" width="27.88671875" style="2" customWidth="1"/>
    <col min="515" max="526" width="9.6640625" style="2" customWidth="1"/>
    <col min="527" max="768" width="11" style="2"/>
    <col min="769" max="769" width="2.5546875" style="2" customWidth="1"/>
    <col min="770" max="770" width="27.88671875" style="2" customWidth="1"/>
    <col min="771" max="782" width="9.6640625" style="2" customWidth="1"/>
    <col min="783" max="1024" width="11" style="2"/>
    <col min="1025" max="1025" width="2.5546875" style="2" customWidth="1"/>
    <col min="1026" max="1026" width="27.88671875" style="2" customWidth="1"/>
    <col min="1027" max="1038" width="9.6640625" style="2" customWidth="1"/>
    <col min="1039" max="1280" width="11" style="2"/>
    <col min="1281" max="1281" width="2.5546875" style="2" customWidth="1"/>
    <col min="1282" max="1282" width="27.88671875" style="2" customWidth="1"/>
    <col min="1283" max="1294" width="9.6640625" style="2" customWidth="1"/>
    <col min="1295" max="1536" width="11" style="2"/>
    <col min="1537" max="1537" width="2.5546875" style="2" customWidth="1"/>
    <col min="1538" max="1538" width="27.88671875" style="2" customWidth="1"/>
    <col min="1539" max="1550" width="9.6640625" style="2" customWidth="1"/>
    <col min="1551" max="1792" width="11" style="2"/>
    <col min="1793" max="1793" width="2.5546875" style="2" customWidth="1"/>
    <col min="1794" max="1794" width="27.88671875" style="2" customWidth="1"/>
    <col min="1795" max="1806" width="9.6640625" style="2" customWidth="1"/>
    <col min="1807" max="2048" width="11" style="2"/>
    <col min="2049" max="2049" width="2.5546875" style="2" customWidth="1"/>
    <col min="2050" max="2050" width="27.88671875" style="2" customWidth="1"/>
    <col min="2051" max="2062" width="9.6640625" style="2" customWidth="1"/>
    <col min="2063" max="2304" width="11" style="2"/>
    <col min="2305" max="2305" width="2.5546875" style="2" customWidth="1"/>
    <col min="2306" max="2306" width="27.88671875" style="2" customWidth="1"/>
    <col min="2307" max="2318" width="9.6640625" style="2" customWidth="1"/>
    <col min="2319" max="2560" width="11" style="2"/>
    <col min="2561" max="2561" width="2.5546875" style="2" customWidth="1"/>
    <col min="2562" max="2562" width="27.88671875" style="2" customWidth="1"/>
    <col min="2563" max="2574" width="9.6640625" style="2" customWidth="1"/>
    <col min="2575" max="2816" width="11" style="2"/>
    <col min="2817" max="2817" width="2.5546875" style="2" customWidth="1"/>
    <col min="2818" max="2818" width="27.88671875" style="2" customWidth="1"/>
    <col min="2819" max="2830" width="9.6640625" style="2" customWidth="1"/>
    <col min="2831" max="3072" width="11" style="2"/>
    <col min="3073" max="3073" width="2.5546875" style="2" customWidth="1"/>
    <col min="3074" max="3074" width="27.88671875" style="2" customWidth="1"/>
    <col min="3075" max="3086" width="9.6640625" style="2" customWidth="1"/>
    <col min="3087" max="3328" width="11" style="2"/>
    <col min="3329" max="3329" width="2.5546875" style="2" customWidth="1"/>
    <col min="3330" max="3330" width="27.88671875" style="2" customWidth="1"/>
    <col min="3331" max="3342" width="9.6640625" style="2" customWidth="1"/>
    <col min="3343" max="3584" width="11" style="2"/>
    <col min="3585" max="3585" width="2.5546875" style="2" customWidth="1"/>
    <col min="3586" max="3586" width="27.88671875" style="2" customWidth="1"/>
    <col min="3587" max="3598" width="9.6640625" style="2" customWidth="1"/>
    <col min="3599" max="3840" width="11" style="2"/>
    <col min="3841" max="3841" width="2.5546875" style="2" customWidth="1"/>
    <col min="3842" max="3842" width="27.88671875" style="2" customWidth="1"/>
    <col min="3843" max="3854" width="9.6640625" style="2" customWidth="1"/>
    <col min="3855" max="4096" width="11" style="2"/>
    <col min="4097" max="4097" width="2.5546875" style="2" customWidth="1"/>
    <col min="4098" max="4098" width="27.88671875" style="2" customWidth="1"/>
    <col min="4099" max="4110" width="9.6640625" style="2" customWidth="1"/>
    <col min="4111" max="4352" width="11" style="2"/>
    <col min="4353" max="4353" width="2.5546875" style="2" customWidth="1"/>
    <col min="4354" max="4354" width="27.88671875" style="2" customWidth="1"/>
    <col min="4355" max="4366" width="9.6640625" style="2" customWidth="1"/>
    <col min="4367" max="4608" width="11" style="2"/>
    <col min="4609" max="4609" width="2.5546875" style="2" customWidth="1"/>
    <col min="4610" max="4610" width="27.88671875" style="2" customWidth="1"/>
    <col min="4611" max="4622" width="9.6640625" style="2" customWidth="1"/>
    <col min="4623" max="4864" width="11" style="2"/>
    <col min="4865" max="4865" width="2.5546875" style="2" customWidth="1"/>
    <col min="4866" max="4866" width="27.88671875" style="2" customWidth="1"/>
    <col min="4867" max="4878" width="9.6640625" style="2" customWidth="1"/>
    <col min="4879" max="5120" width="11" style="2"/>
    <col min="5121" max="5121" width="2.5546875" style="2" customWidth="1"/>
    <col min="5122" max="5122" width="27.88671875" style="2" customWidth="1"/>
    <col min="5123" max="5134" width="9.6640625" style="2" customWidth="1"/>
    <col min="5135" max="5376" width="11" style="2"/>
    <col min="5377" max="5377" width="2.5546875" style="2" customWidth="1"/>
    <col min="5378" max="5378" width="27.88671875" style="2" customWidth="1"/>
    <col min="5379" max="5390" width="9.6640625" style="2" customWidth="1"/>
    <col min="5391" max="5632" width="11" style="2"/>
    <col min="5633" max="5633" width="2.5546875" style="2" customWidth="1"/>
    <col min="5634" max="5634" width="27.88671875" style="2" customWidth="1"/>
    <col min="5635" max="5646" width="9.6640625" style="2" customWidth="1"/>
    <col min="5647" max="5888" width="11" style="2"/>
    <col min="5889" max="5889" width="2.5546875" style="2" customWidth="1"/>
    <col min="5890" max="5890" width="27.88671875" style="2" customWidth="1"/>
    <col min="5891" max="5902" width="9.6640625" style="2" customWidth="1"/>
    <col min="5903" max="6144" width="11" style="2"/>
    <col min="6145" max="6145" width="2.5546875" style="2" customWidth="1"/>
    <col min="6146" max="6146" width="27.88671875" style="2" customWidth="1"/>
    <col min="6147" max="6158" width="9.6640625" style="2" customWidth="1"/>
    <col min="6159" max="6400" width="11" style="2"/>
    <col min="6401" max="6401" width="2.5546875" style="2" customWidth="1"/>
    <col min="6402" max="6402" width="27.88671875" style="2" customWidth="1"/>
    <col min="6403" max="6414" width="9.6640625" style="2" customWidth="1"/>
    <col min="6415" max="6656" width="11" style="2"/>
    <col min="6657" max="6657" width="2.5546875" style="2" customWidth="1"/>
    <col min="6658" max="6658" width="27.88671875" style="2" customWidth="1"/>
    <col min="6659" max="6670" width="9.6640625" style="2" customWidth="1"/>
    <col min="6671" max="6912" width="11" style="2"/>
    <col min="6913" max="6913" width="2.5546875" style="2" customWidth="1"/>
    <col min="6914" max="6914" width="27.88671875" style="2" customWidth="1"/>
    <col min="6915" max="6926" width="9.6640625" style="2" customWidth="1"/>
    <col min="6927" max="7168" width="11" style="2"/>
    <col min="7169" max="7169" width="2.5546875" style="2" customWidth="1"/>
    <col min="7170" max="7170" width="27.88671875" style="2" customWidth="1"/>
    <col min="7171" max="7182" width="9.6640625" style="2" customWidth="1"/>
    <col min="7183" max="7424" width="11" style="2"/>
    <col min="7425" max="7425" width="2.5546875" style="2" customWidth="1"/>
    <col min="7426" max="7426" width="27.88671875" style="2" customWidth="1"/>
    <col min="7427" max="7438" width="9.6640625" style="2" customWidth="1"/>
    <col min="7439" max="7680" width="11" style="2"/>
    <col min="7681" max="7681" width="2.5546875" style="2" customWidth="1"/>
    <col min="7682" max="7682" width="27.88671875" style="2" customWidth="1"/>
    <col min="7683" max="7694" width="9.6640625" style="2" customWidth="1"/>
    <col min="7695" max="7936" width="11" style="2"/>
    <col min="7937" max="7937" width="2.5546875" style="2" customWidth="1"/>
    <col min="7938" max="7938" width="27.88671875" style="2" customWidth="1"/>
    <col min="7939" max="7950" width="9.6640625" style="2" customWidth="1"/>
    <col min="7951" max="8192" width="11" style="2"/>
    <col min="8193" max="8193" width="2.5546875" style="2" customWidth="1"/>
    <col min="8194" max="8194" width="27.88671875" style="2" customWidth="1"/>
    <col min="8195" max="8206" width="9.6640625" style="2" customWidth="1"/>
    <col min="8207" max="8448" width="11" style="2"/>
    <col min="8449" max="8449" width="2.5546875" style="2" customWidth="1"/>
    <col min="8450" max="8450" width="27.88671875" style="2" customWidth="1"/>
    <col min="8451" max="8462" width="9.6640625" style="2" customWidth="1"/>
    <col min="8463" max="8704" width="11" style="2"/>
    <col min="8705" max="8705" width="2.5546875" style="2" customWidth="1"/>
    <col min="8706" max="8706" width="27.88671875" style="2" customWidth="1"/>
    <col min="8707" max="8718" width="9.6640625" style="2" customWidth="1"/>
    <col min="8719" max="8960" width="11" style="2"/>
    <col min="8961" max="8961" width="2.5546875" style="2" customWidth="1"/>
    <col min="8962" max="8962" width="27.88671875" style="2" customWidth="1"/>
    <col min="8963" max="8974" width="9.6640625" style="2" customWidth="1"/>
    <col min="8975" max="9216" width="11" style="2"/>
    <col min="9217" max="9217" width="2.5546875" style="2" customWidth="1"/>
    <col min="9218" max="9218" width="27.88671875" style="2" customWidth="1"/>
    <col min="9219" max="9230" width="9.6640625" style="2" customWidth="1"/>
    <col min="9231" max="9472" width="11" style="2"/>
    <col min="9473" max="9473" width="2.5546875" style="2" customWidth="1"/>
    <col min="9474" max="9474" width="27.88671875" style="2" customWidth="1"/>
    <col min="9475" max="9486" width="9.6640625" style="2" customWidth="1"/>
    <col min="9487" max="9728" width="11" style="2"/>
    <col min="9729" max="9729" width="2.5546875" style="2" customWidth="1"/>
    <col min="9730" max="9730" width="27.88671875" style="2" customWidth="1"/>
    <col min="9731" max="9742" width="9.6640625" style="2" customWidth="1"/>
    <col min="9743" max="9984" width="11" style="2"/>
    <col min="9985" max="9985" width="2.5546875" style="2" customWidth="1"/>
    <col min="9986" max="9986" width="27.88671875" style="2" customWidth="1"/>
    <col min="9987" max="9998" width="9.6640625" style="2" customWidth="1"/>
    <col min="9999" max="10240" width="11" style="2"/>
    <col min="10241" max="10241" width="2.5546875" style="2" customWidth="1"/>
    <col min="10242" max="10242" width="27.88671875" style="2" customWidth="1"/>
    <col min="10243" max="10254" width="9.6640625" style="2" customWidth="1"/>
    <col min="10255" max="10496" width="11" style="2"/>
    <col min="10497" max="10497" width="2.5546875" style="2" customWidth="1"/>
    <col min="10498" max="10498" width="27.88671875" style="2" customWidth="1"/>
    <col min="10499" max="10510" width="9.6640625" style="2" customWidth="1"/>
    <col min="10511" max="10752" width="11" style="2"/>
    <col min="10753" max="10753" width="2.5546875" style="2" customWidth="1"/>
    <col min="10754" max="10754" width="27.88671875" style="2" customWidth="1"/>
    <col min="10755" max="10766" width="9.6640625" style="2" customWidth="1"/>
    <col min="10767" max="11008" width="11" style="2"/>
    <col min="11009" max="11009" width="2.5546875" style="2" customWidth="1"/>
    <col min="11010" max="11010" width="27.88671875" style="2" customWidth="1"/>
    <col min="11011" max="11022" width="9.6640625" style="2" customWidth="1"/>
    <col min="11023" max="11264" width="11" style="2"/>
    <col min="11265" max="11265" width="2.5546875" style="2" customWidth="1"/>
    <col min="11266" max="11266" width="27.88671875" style="2" customWidth="1"/>
    <col min="11267" max="11278" width="9.6640625" style="2" customWidth="1"/>
    <col min="11279" max="11520" width="11" style="2"/>
    <col min="11521" max="11521" width="2.5546875" style="2" customWidth="1"/>
    <col min="11522" max="11522" width="27.88671875" style="2" customWidth="1"/>
    <col min="11523" max="11534" width="9.6640625" style="2" customWidth="1"/>
    <col min="11535" max="11776" width="11" style="2"/>
    <col min="11777" max="11777" width="2.5546875" style="2" customWidth="1"/>
    <col min="11778" max="11778" width="27.88671875" style="2" customWidth="1"/>
    <col min="11779" max="11790" width="9.6640625" style="2" customWidth="1"/>
    <col min="11791" max="12032" width="11" style="2"/>
    <col min="12033" max="12033" width="2.5546875" style="2" customWidth="1"/>
    <col min="12034" max="12034" width="27.88671875" style="2" customWidth="1"/>
    <col min="12035" max="12046" width="9.6640625" style="2" customWidth="1"/>
    <col min="12047" max="12288" width="11" style="2"/>
    <col min="12289" max="12289" width="2.5546875" style="2" customWidth="1"/>
    <col min="12290" max="12290" width="27.88671875" style="2" customWidth="1"/>
    <col min="12291" max="12302" width="9.6640625" style="2" customWidth="1"/>
    <col min="12303" max="12544" width="11" style="2"/>
    <col min="12545" max="12545" width="2.5546875" style="2" customWidth="1"/>
    <col min="12546" max="12546" width="27.88671875" style="2" customWidth="1"/>
    <col min="12547" max="12558" width="9.6640625" style="2" customWidth="1"/>
    <col min="12559" max="12800" width="11" style="2"/>
    <col min="12801" max="12801" width="2.5546875" style="2" customWidth="1"/>
    <col min="12802" max="12802" width="27.88671875" style="2" customWidth="1"/>
    <col min="12803" max="12814" width="9.6640625" style="2" customWidth="1"/>
    <col min="12815" max="13056" width="11" style="2"/>
    <col min="13057" max="13057" width="2.5546875" style="2" customWidth="1"/>
    <col min="13058" max="13058" width="27.88671875" style="2" customWidth="1"/>
    <col min="13059" max="13070" width="9.6640625" style="2" customWidth="1"/>
    <col min="13071" max="13312" width="11" style="2"/>
    <col min="13313" max="13313" width="2.5546875" style="2" customWidth="1"/>
    <col min="13314" max="13314" width="27.88671875" style="2" customWidth="1"/>
    <col min="13315" max="13326" width="9.6640625" style="2" customWidth="1"/>
    <col min="13327" max="13568" width="11" style="2"/>
    <col min="13569" max="13569" width="2.5546875" style="2" customWidth="1"/>
    <col min="13570" max="13570" width="27.88671875" style="2" customWidth="1"/>
    <col min="13571" max="13582" width="9.6640625" style="2" customWidth="1"/>
    <col min="13583" max="13824" width="11" style="2"/>
    <col min="13825" max="13825" width="2.5546875" style="2" customWidth="1"/>
    <col min="13826" max="13826" width="27.88671875" style="2" customWidth="1"/>
    <col min="13827" max="13838" width="9.6640625" style="2" customWidth="1"/>
    <col min="13839" max="14080" width="11" style="2"/>
    <col min="14081" max="14081" width="2.5546875" style="2" customWidth="1"/>
    <col min="14082" max="14082" width="27.88671875" style="2" customWidth="1"/>
    <col min="14083" max="14094" width="9.6640625" style="2" customWidth="1"/>
    <col min="14095" max="14336" width="11" style="2"/>
    <col min="14337" max="14337" width="2.5546875" style="2" customWidth="1"/>
    <col min="14338" max="14338" width="27.88671875" style="2" customWidth="1"/>
    <col min="14339" max="14350" width="9.6640625" style="2" customWidth="1"/>
    <col min="14351" max="14592" width="11" style="2"/>
    <col min="14593" max="14593" width="2.5546875" style="2" customWidth="1"/>
    <col min="14594" max="14594" width="27.88671875" style="2" customWidth="1"/>
    <col min="14595" max="14606" width="9.6640625" style="2" customWidth="1"/>
    <col min="14607" max="14848" width="11" style="2"/>
    <col min="14849" max="14849" width="2.5546875" style="2" customWidth="1"/>
    <col min="14850" max="14850" width="27.88671875" style="2" customWidth="1"/>
    <col min="14851" max="14862" width="9.6640625" style="2" customWidth="1"/>
    <col min="14863" max="15104" width="11" style="2"/>
    <col min="15105" max="15105" width="2.5546875" style="2" customWidth="1"/>
    <col min="15106" max="15106" width="27.88671875" style="2" customWidth="1"/>
    <col min="15107" max="15118" width="9.6640625" style="2" customWidth="1"/>
    <col min="15119" max="15360" width="11" style="2"/>
    <col min="15361" max="15361" width="2.5546875" style="2" customWidth="1"/>
    <col min="15362" max="15362" width="27.88671875" style="2" customWidth="1"/>
    <col min="15363" max="15374" width="9.6640625" style="2" customWidth="1"/>
    <col min="15375" max="15616" width="11" style="2"/>
    <col min="15617" max="15617" width="2.5546875" style="2" customWidth="1"/>
    <col min="15618" max="15618" width="27.88671875" style="2" customWidth="1"/>
    <col min="15619" max="15630" width="9.6640625" style="2" customWidth="1"/>
    <col min="15631" max="15872" width="11" style="2"/>
    <col min="15873" max="15873" width="2.5546875" style="2" customWidth="1"/>
    <col min="15874" max="15874" width="27.88671875" style="2" customWidth="1"/>
    <col min="15875" max="15886" width="9.6640625" style="2" customWidth="1"/>
    <col min="15887" max="16128" width="11" style="2"/>
    <col min="16129" max="16129" width="2.5546875" style="2" customWidth="1"/>
    <col min="16130" max="16130" width="27.88671875" style="2" customWidth="1"/>
    <col min="16131" max="16142" width="9.6640625" style="2" customWidth="1"/>
    <col min="16143" max="16384" width="11" style="2"/>
  </cols>
  <sheetData>
    <row r="1" spans="1:26" s="260" customFormat="1" ht="22.8" x14ac:dyDescent="0.4">
      <c r="A1" s="259" t="s">
        <v>0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26" x14ac:dyDescent="0.2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</row>
    <row r="3" spans="1:26" ht="10.199999999999999" thickBot="1" x14ac:dyDescent="0.25">
      <c r="A3" s="262" t="s">
        <v>129</v>
      </c>
      <c r="B3" s="263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</row>
    <row r="4" spans="1:26" s="82" customFormat="1" ht="9.9" customHeight="1" thickTop="1" x14ac:dyDescent="0.25">
      <c r="A4" s="462" t="s">
        <v>130</v>
      </c>
      <c r="B4" s="463"/>
      <c r="C4" s="466" t="s">
        <v>131</v>
      </c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7"/>
      <c r="O4" s="468" t="s">
        <v>132</v>
      </c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70"/>
    </row>
    <row r="5" spans="1:26" s="82" customFormat="1" ht="9.9" customHeight="1" x14ac:dyDescent="0.2">
      <c r="A5" s="464"/>
      <c r="B5" s="465"/>
      <c r="C5" s="265" t="s">
        <v>5</v>
      </c>
      <c r="D5" s="265" t="s">
        <v>133</v>
      </c>
      <c r="E5" s="265" t="s">
        <v>7</v>
      </c>
      <c r="F5" s="265" t="s">
        <v>8</v>
      </c>
      <c r="G5" s="265" t="s">
        <v>9</v>
      </c>
      <c r="H5" s="265" t="s">
        <v>10</v>
      </c>
      <c r="I5" s="265" t="s">
        <v>11</v>
      </c>
      <c r="J5" s="265" t="s">
        <v>12</v>
      </c>
      <c r="K5" s="265" t="s">
        <v>13</v>
      </c>
      <c r="L5" s="265" t="s">
        <v>14</v>
      </c>
      <c r="M5" s="265" t="s">
        <v>15</v>
      </c>
      <c r="N5" s="266" t="s">
        <v>16</v>
      </c>
      <c r="O5" s="267" t="s">
        <v>5</v>
      </c>
      <c r="P5" s="267" t="s">
        <v>133</v>
      </c>
      <c r="Q5" s="267" t="s">
        <v>7</v>
      </c>
      <c r="R5" s="267" t="s">
        <v>8</v>
      </c>
      <c r="S5" s="267" t="s">
        <v>9</v>
      </c>
      <c r="T5" s="267" t="s">
        <v>10</v>
      </c>
      <c r="U5" s="267" t="s">
        <v>11</v>
      </c>
      <c r="V5" s="267" t="s">
        <v>12</v>
      </c>
      <c r="W5" s="267" t="s">
        <v>13</v>
      </c>
      <c r="X5" s="267" t="s">
        <v>14</v>
      </c>
      <c r="Y5" s="267" t="s">
        <v>15</v>
      </c>
      <c r="Z5" s="268" t="s">
        <v>16</v>
      </c>
    </row>
    <row r="6" spans="1:26" s="71" customFormat="1" ht="9.9" customHeight="1" x14ac:dyDescent="0.2">
      <c r="A6" s="269">
        <v>1</v>
      </c>
      <c r="B6" s="270" t="s">
        <v>111</v>
      </c>
      <c r="C6" s="271">
        <f t="shared" ref="C6:N6" si="0">C7+C10</f>
        <v>120340.683</v>
      </c>
      <c r="D6" s="271">
        <f t="shared" si="0"/>
        <v>120340.683</v>
      </c>
      <c r="E6" s="271">
        <f t="shared" si="0"/>
        <v>120340.683</v>
      </c>
      <c r="F6" s="271">
        <f t="shared" si="0"/>
        <v>120340.683</v>
      </c>
      <c r="G6" s="271">
        <f t="shared" si="0"/>
        <v>123840.683</v>
      </c>
      <c r="H6" s="271">
        <f t="shared" si="0"/>
        <v>123840.683</v>
      </c>
      <c r="I6" s="271">
        <f>I7+I10</f>
        <v>123840.683</v>
      </c>
      <c r="J6" s="271">
        <f>J7+J10</f>
        <v>126840.683</v>
      </c>
      <c r="K6" s="271">
        <f t="shared" si="0"/>
        <v>126840.683</v>
      </c>
      <c r="L6" s="271">
        <f t="shared" si="0"/>
        <v>130840.683</v>
      </c>
      <c r="M6" s="271">
        <f>M7+M10</f>
        <v>131624.10699999999</v>
      </c>
      <c r="N6" s="272">
        <f t="shared" si="0"/>
        <v>131624.10699999999</v>
      </c>
      <c r="O6" s="273">
        <f>O7+O10</f>
        <v>131624.10699999999</v>
      </c>
      <c r="P6" s="273">
        <f t="shared" ref="P6:Z6" si="1">P7+P10</f>
        <v>131624.10700000002</v>
      </c>
      <c r="Q6" s="273">
        <f t="shared" si="1"/>
        <v>131624.10699999999</v>
      </c>
      <c r="R6" s="273">
        <f t="shared" si="1"/>
        <v>131624.10699999999</v>
      </c>
      <c r="S6" s="273">
        <f t="shared" si="1"/>
        <v>131624.10700000002</v>
      </c>
      <c r="T6" s="273">
        <f t="shared" si="1"/>
        <v>131624.10700000002</v>
      </c>
      <c r="U6" s="273">
        <f t="shared" si="1"/>
        <v>131624.10699999999</v>
      </c>
      <c r="V6" s="273">
        <f t="shared" si="1"/>
        <v>131624.10699999999</v>
      </c>
      <c r="W6" s="273">
        <f t="shared" si="1"/>
        <v>131624.10699999999</v>
      </c>
      <c r="X6" s="273">
        <f t="shared" si="1"/>
        <v>131624.10700000002</v>
      </c>
      <c r="Y6" s="273">
        <f t="shared" si="1"/>
        <v>123463.807</v>
      </c>
      <c r="Z6" s="274">
        <f t="shared" si="1"/>
        <v>136468.10700000002</v>
      </c>
    </row>
    <row r="7" spans="1:26" s="71" customFormat="1" ht="9.9" customHeight="1" x14ac:dyDescent="0.25">
      <c r="A7" s="269"/>
      <c r="B7" s="275" t="s">
        <v>134</v>
      </c>
      <c r="C7" s="276">
        <f t="shared" ref="C7:N7" si="2">SUM(C8:C9)</f>
        <v>114889.933</v>
      </c>
      <c r="D7" s="276">
        <f t="shared" si="2"/>
        <v>116065.433</v>
      </c>
      <c r="E7" s="276">
        <f t="shared" si="2"/>
        <v>116318.23300000001</v>
      </c>
      <c r="F7" s="276">
        <f t="shared" si="2"/>
        <v>116563.433</v>
      </c>
      <c r="G7" s="276">
        <f t="shared" si="2"/>
        <v>119607.23300000001</v>
      </c>
      <c r="H7" s="276">
        <f t="shared" si="2"/>
        <v>119337.708</v>
      </c>
      <c r="I7" s="276">
        <f>SUM(I8:I9)</f>
        <v>119476.708</v>
      </c>
      <c r="J7" s="276">
        <f>SUM(J8:J9)</f>
        <v>122854.10800000001</v>
      </c>
      <c r="K7" s="276">
        <f t="shared" si="2"/>
        <v>123548.40800000001</v>
      </c>
      <c r="L7" s="276">
        <f t="shared" si="2"/>
        <v>127441.90800000001</v>
      </c>
      <c r="M7" s="276">
        <f t="shared" si="2"/>
        <v>127687.132</v>
      </c>
      <c r="N7" s="277">
        <f t="shared" si="2"/>
        <v>127122.132</v>
      </c>
      <c r="O7" s="278">
        <f>SUM(O8:O9)</f>
        <v>127261.132</v>
      </c>
      <c r="P7" s="278">
        <f t="shared" ref="P7:Z7" si="3">SUM(P8:P9)</f>
        <v>128115.40700000001</v>
      </c>
      <c r="Q7" s="278">
        <f t="shared" si="3"/>
        <v>128415.70699999999</v>
      </c>
      <c r="R7" s="278">
        <f t="shared" si="3"/>
        <v>128414.007</v>
      </c>
      <c r="S7" s="278">
        <f t="shared" si="3"/>
        <v>128285.107</v>
      </c>
      <c r="T7" s="278">
        <f t="shared" si="3"/>
        <v>128895.482</v>
      </c>
      <c r="U7" s="278">
        <f t="shared" si="3"/>
        <v>128669.632</v>
      </c>
      <c r="V7" s="278">
        <f t="shared" si="3"/>
        <v>128268.632</v>
      </c>
      <c r="W7" s="278">
        <f t="shared" si="3"/>
        <v>128302.057</v>
      </c>
      <c r="X7" s="278">
        <f t="shared" si="3"/>
        <v>128455.65700000001</v>
      </c>
      <c r="Y7" s="278">
        <f t="shared" si="3"/>
        <v>121177.357</v>
      </c>
      <c r="Z7" s="279">
        <f t="shared" si="3"/>
        <v>134460.35700000002</v>
      </c>
    </row>
    <row r="8" spans="1:26" s="82" customFormat="1" ht="9.9" customHeight="1" x14ac:dyDescent="0.2">
      <c r="A8" s="280"/>
      <c r="B8" s="100" t="s">
        <v>135</v>
      </c>
      <c r="C8" s="281">
        <v>27483.933000000001</v>
      </c>
      <c r="D8" s="281">
        <v>27528.933000000001</v>
      </c>
      <c r="E8" s="281">
        <v>27508.933000000001</v>
      </c>
      <c r="F8" s="281">
        <v>27508.933000000001</v>
      </c>
      <c r="G8" s="281">
        <v>22108.933000000001</v>
      </c>
      <c r="H8" s="281">
        <v>19088.933000000001</v>
      </c>
      <c r="I8" s="281">
        <v>19088.933000000001</v>
      </c>
      <c r="J8" s="281">
        <v>20258.933000000001</v>
      </c>
      <c r="K8" s="281">
        <v>20238.933000000001</v>
      </c>
      <c r="L8" s="281">
        <v>20238.933000000001</v>
      </c>
      <c r="M8" s="281">
        <v>16392.932000000001</v>
      </c>
      <c r="N8" s="282">
        <v>25072.932000000001</v>
      </c>
      <c r="O8" s="283">
        <v>25072.932000000001</v>
      </c>
      <c r="P8" s="283">
        <v>24572.932000000001</v>
      </c>
      <c r="Q8" s="283">
        <v>21409.932000000001</v>
      </c>
      <c r="R8" s="283">
        <v>21409.932000000001</v>
      </c>
      <c r="S8" s="283">
        <v>19326.432000000001</v>
      </c>
      <c r="T8" s="283">
        <v>17724.432000000001</v>
      </c>
      <c r="U8" s="283">
        <v>17724.432000000001</v>
      </c>
      <c r="V8" s="283">
        <v>17724.432000000001</v>
      </c>
      <c r="W8" s="283">
        <v>16464.432000000001</v>
      </c>
      <c r="X8" s="283">
        <v>16464.432000000001</v>
      </c>
      <c r="Y8" s="283">
        <v>15283.932000000001</v>
      </c>
      <c r="Z8" s="284">
        <v>12968.932000000001</v>
      </c>
    </row>
    <row r="9" spans="1:26" s="82" customFormat="1" ht="9.9" customHeight="1" x14ac:dyDescent="0.2">
      <c r="A9" s="280"/>
      <c r="B9" s="100" t="s">
        <v>136</v>
      </c>
      <c r="C9" s="281">
        <v>87406</v>
      </c>
      <c r="D9" s="281">
        <v>88536.5</v>
      </c>
      <c r="E9" s="281">
        <v>88809.3</v>
      </c>
      <c r="F9" s="281">
        <v>89054.5</v>
      </c>
      <c r="G9" s="281">
        <v>97498.3</v>
      </c>
      <c r="H9" s="281">
        <v>100248.77499999999</v>
      </c>
      <c r="I9" s="281">
        <v>100387.77499999999</v>
      </c>
      <c r="J9" s="281">
        <v>102595.175</v>
      </c>
      <c r="K9" s="281">
        <v>103309.47500000001</v>
      </c>
      <c r="L9" s="281">
        <v>107202.97500000001</v>
      </c>
      <c r="M9" s="281">
        <v>111294.2</v>
      </c>
      <c r="N9" s="282">
        <v>102049.2</v>
      </c>
      <c r="O9" s="283">
        <v>102188.2</v>
      </c>
      <c r="P9" s="283">
        <v>103542.47500000001</v>
      </c>
      <c r="Q9" s="283">
        <v>107005.77499999999</v>
      </c>
      <c r="R9" s="283">
        <v>107004.075</v>
      </c>
      <c r="S9" s="283">
        <v>108958.675</v>
      </c>
      <c r="T9" s="283">
        <v>111171.05</v>
      </c>
      <c r="U9" s="283">
        <v>110945.2</v>
      </c>
      <c r="V9" s="283">
        <v>110544.2</v>
      </c>
      <c r="W9" s="283">
        <v>111837.625</v>
      </c>
      <c r="X9" s="283">
        <v>111991.22500000001</v>
      </c>
      <c r="Y9" s="283">
        <v>105893.425</v>
      </c>
      <c r="Z9" s="284">
        <v>121491.425</v>
      </c>
    </row>
    <row r="10" spans="1:26" s="82" customFormat="1" ht="9.9" customHeight="1" x14ac:dyDescent="0.25">
      <c r="A10" s="280"/>
      <c r="B10" s="275" t="s">
        <v>137</v>
      </c>
      <c r="C10" s="276">
        <f t="shared" ref="C10:N10" si="4">SUM(C11:C13)</f>
        <v>5450.75</v>
      </c>
      <c r="D10" s="276">
        <f t="shared" si="4"/>
        <v>4275.25</v>
      </c>
      <c r="E10" s="276">
        <f t="shared" si="4"/>
        <v>4022.45</v>
      </c>
      <c r="F10" s="276">
        <f t="shared" si="4"/>
        <v>3777.25</v>
      </c>
      <c r="G10" s="276">
        <f t="shared" si="4"/>
        <v>4233.45</v>
      </c>
      <c r="H10" s="276">
        <f t="shared" si="4"/>
        <v>4502.9750000000004</v>
      </c>
      <c r="I10" s="276">
        <f>SUM(I11:I13)</f>
        <v>4363.9750000000004</v>
      </c>
      <c r="J10" s="276">
        <f>SUM(J11:J13)</f>
        <v>3986.5749999999998</v>
      </c>
      <c r="K10" s="276">
        <f t="shared" si="4"/>
        <v>3292.2750000000001</v>
      </c>
      <c r="L10" s="276">
        <f t="shared" si="4"/>
        <v>3398.7749999999942</v>
      </c>
      <c r="M10" s="276">
        <f t="shared" si="4"/>
        <v>3936.9749999999913</v>
      </c>
      <c r="N10" s="277">
        <f t="shared" si="4"/>
        <v>4501.9750000000004</v>
      </c>
      <c r="O10" s="278">
        <f>SUM(O11:O13)</f>
        <v>4362.9750000000004</v>
      </c>
      <c r="P10" s="278">
        <f t="shared" ref="P10:Z10" si="5">SUM(P11:P13)</f>
        <v>3508.7</v>
      </c>
      <c r="Q10" s="278">
        <f t="shared" si="5"/>
        <v>3208.4</v>
      </c>
      <c r="R10" s="278">
        <f t="shared" si="5"/>
        <v>3210.1</v>
      </c>
      <c r="S10" s="278">
        <f t="shared" si="5"/>
        <v>3339</v>
      </c>
      <c r="T10" s="278">
        <f t="shared" si="5"/>
        <v>2728.625</v>
      </c>
      <c r="U10" s="278">
        <f t="shared" si="5"/>
        <v>2954.4749999999999</v>
      </c>
      <c r="V10" s="278">
        <f t="shared" si="5"/>
        <v>3355.4749999999999</v>
      </c>
      <c r="W10" s="278">
        <f t="shared" si="5"/>
        <v>3322.05</v>
      </c>
      <c r="X10" s="278">
        <f t="shared" si="5"/>
        <v>3168.45</v>
      </c>
      <c r="Y10" s="278">
        <f t="shared" si="5"/>
        <v>2286.4499999999998</v>
      </c>
      <c r="Z10" s="279">
        <f t="shared" si="5"/>
        <v>2007.75</v>
      </c>
    </row>
    <row r="11" spans="1:26" s="82" customFormat="1" ht="9.9" customHeight="1" x14ac:dyDescent="0.2">
      <c r="A11" s="280"/>
      <c r="B11" s="100" t="s">
        <v>138</v>
      </c>
      <c r="C11" s="281">
        <v>1694.05</v>
      </c>
      <c r="D11" s="281">
        <v>1742.05</v>
      </c>
      <c r="E11" s="281">
        <v>1818.95</v>
      </c>
      <c r="F11" s="281">
        <v>1812.85</v>
      </c>
      <c r="G11" s="281">
        <v>2282.65</v>
      </c>
      <c r="H11" s="281">
        <v>2562.2750000000001</v>
      </c>
      <c r="I11" s="281">
        <v>2507.2750000000001</v>
      </c>
      <c r="J11" s="281">
        <v>2325.7750000000001</v>
      </c>
      <c r="K11" s="281">
        <v>2243.4749999999999</v>
      </c>
      <c r="L11" s="281">
        <v>2394.9749999999999</v>
      </c>
      <c r="M11" s="281">
        <v>2750.9749999999999</v>
      </c>
      <c r="N11" s="282">
        <v>2794.9749999999999</v>
      </c>
      <c r="O11" s="283">
        <v>2698.4749999999999</v>
      </c>
      <c r="P11" s="283">
        <v>2009.1</v>
      </c>
      <c r="Q11" s="283">
        <v>1801</v>
      </c>
      <c r="R11" s="283">
        <v>1801</v>
      </c>
      <c r="S11" s="283">
        <v>1928.5</v>
      </c>
      <c r="T11" s="283">
        <v>1408.925</v>
      </c>
      <c r="U11" s="283">
        <v>1508.925</v>
      </c>
      <c r="V11" s="283">
        <v>1814.425</v>
      </c>
      <c r="W11" s="283">
        <v>1791</v>
      </c>
      <c r="X11" s="283">
        <v>1731</v>
      </c>
      <c r="Y11" s="283">
        <v>1309.5</v>
      </c>
      <c r="Z11" s="284">
        <v>1406</v>
      </c>
    </row>
    <row r="12" spans="1:26" s="82" customFormat="1" ht="9.9" customHeight="1" x14ac:dyDescent="0.2">
      <c r="A12" s="280"/>
      <c r="B12" s="100" t="s">
        <v>139</v>
      </c>
      <c r="C12" s="281">
        <v>858.4</v>
      </c>
      <c r="D12" s="281">
        <v>796.9</v>
      </c>
      <c r="E12" s="281">
        <v>629.20000000000005</v>
      </c>
      <c r="F12" s="281">
        <v>747.6</v>
      </c>
      <c r="G12" s="281">
        <v>814</v>
      </c>
      <c r="H12" s="281">
        <v>993.9</v>
      </c>
      <c r="I12" s="281">
        <v>909.9</v>
      </c>
      <c r="J12" s="281">
        <v>729</v>
      </c>
      <c r="K12" s="281">
        <v>676</v>
      </c>
      <c r="L12" s="281">
        <v>631</v>
      </c>
      <c r="M12" s="281">
        <v>1076</v>
      </c>
      <c r="N12" s="282">
        <v>1664.5</v>
      </c>
      <c r="O12" s="283">
        <v>1622</v>
      </c>
      <c r="P12" s="283">
        <v>1457.1</v>
      </c>
      <c r="Q12" s="283">
        <v>1392.4</v>
      </c>
      <c r="R12" s="283">
        <v>1394.1</v>
      </c>
      <c r="S12" s="283">
        <v>1395.5</v>
      </c>
      <c r="T12" s="283">
        <v>1284.7</v>
      </c>
      <c r="U12" s="283">
        <v>1365.55</v>
      </c>
      <c r="V12" s="283">
        <v>1461.05</v>
      </c>
      <c r="W12" s="283">
        <v>1451.05</v>
      </c>
      <c r="X12" s="283">
        <v>1417.45</v>
      </c>
      <c r="Y12" s="283">
        <v>956.95</v>
      </c>
      <c r="Z12" s="284">
        <v>551.75</v>
      </c>
    </row>
    <row r="13" spans="1:26" s="82" customFormat="1" ht="9.9" customHeight="1" x14ac:dyDescent="0.2">
      <c r="A13" s="280"/>
      <c r="B13" s="100" t="s">
        <v>140</v>
      </c>
      <c r="C13" s="281">
        <v>2898.3</v>
      </c>
      <c r="D13" s="281">
        <v>1736.3</v>
      </c>
      <c r="E13" s="281">
        <v>1574.3</v>
      </c>
      <c r="F13" s="281">
        <v>1216.8</v>
      </c>
      <c r="G13" s="281">
        <v>1136.8</v>
      </c>
      <c r="H13" s="281">
        <v>946.8</v>
      </c>
      <c r="I13" s="281">
        <v>946.8</v>
      </c>
      <c r="J13" s="281">
        <v>931.8</v>
      </c>
      <c r="K13" s="281">
        <v>372.8</v>
      </c>
      <c r="L13" s="281">
        <f>130840.683-L7-L11-L12</f>
        <v>372.79999999999427</v>
      </c>
      <c r="M13" s="281">
        <f>131624.107-M7-M11-M12</f>
        <v>109.99999999999136</v>
      </c>
      <c r="N13" s="282">
        <v>42.5</v>
      </c>
      <c r="O13" s="283">
        <v>42.5</v>
      </c>
      <c r="P13" s="283">
        <v>42.5</v>
      </c>
      <c r="Q13" s="283">
        <v>15</v>
      </c>
      <c r="R13" s="283">
        <v>15</v>
      </c>
      <c r="S13" s="283">
        <v>15</v>
      </c>
      <c r="T13" s="283">
        <v>35</v>
      </c>
      <c r="U13" s="283">
        <v>80</v>
      </c>
      <c r="V13" s="283">
        <v>80</v>
      </c>
      <c r="W13" s="283">
        <v>80</v>
      </c>
      <c r="X13" s="283">
        <v>20</v>
      </c>
      <c r="Y13" s="283">
        <v>20</v>
      </c>
      <c r="Z13" s="284">
        <v>50</v>
      </c>
    </row>
    <row r="14" spans="1:26" s="71" customFormat="1" ht="9.9" customHeight="1" x14ac:dyDescent="0.2">
      <c r="A14" s="269">
        <v>2</v>
      </c>
      <c r="B14" s="270" t="s">
        <v>112</v>
      </c>
      <c r="C14" s="271">
        <f t="shared" ref="C14:N14" si="6">C15+C18</f>
        <v>43519.4</v>
      </c>
      <c r="D14" s="271">
        <f t="shared" si="6"/>
        <v>43519.4</v>
      </c>
      <c r="E14" s="271">
        <f t="shared" si="6"/>
        <v>43519.4</v>
      </c>
      <c r="F14" s="271">
        <f t="shared" si="6"/>
        <v>43519.4</v>
      </c>
      <c r="G14" s="271">
        <f t="shared" si="6"/>
        <v>43519.4</v>
      </c>
      <c r="H14" s="271">
        <f t="shared" si="6"/>
        <v>47019.4</v>
      </c>
      <c r="I14" s="271">
        <f>I15+I18</f>
        <v>47019.4</v>
      </c>
      <c r="J14" s="271">
        <f>J15+J18</f>
        <v>47019.4</v>
      </c>
      <c r="K14" s="271">
        <f t="shared" si="6"/>
        <v>53519.4</v>
      </c>
      <c r="L14" s="271">
        <f t="shared" si="6"/>
        <v>53519.4</v>
      </c>
      <c r="M14" s="271">
        <f t="shared" si="6"/>
        <v>57519.4</v>
      </c>
      <c r="N14" s="272">
        <f t="shared" si="6"/>
        <v>57519.4</v>
      </c>
      <c r="O14" s="285">
        <f>O15+O18</f>
        <v>57519.4</v>
      </c>
      <c r="P14" s="285">
        <f t="shared" ref="P14:Z14" si="7">P15+P18</f>
        <v>57519.4</v>
      </c>
      <c r="Q14" s="285">
        <f t="shared" si="7"/>
        <v>57519.4</v>
      </c>
      <c r="R14" s="285">
        <f t="shared" si="7"/>
        <v>57519.4</v>
      </c>
      <c r="S14" s="285">
        <f t="shared" si="7"/>
        <v>57519.4</v>
      </c>
      <c r="T14" s="285">
        <f t="shared" si="7"/>
        <v>57519.4</v>
      </c>
      <c r="U14" s="285">
        <f t="shared" si="7"/>
        <v>56019.400000000009</v>
      </c>
      <c r="V14" s="285">
        <f t="shared" si="7"/>
        <v>56019.4</v>
      </c>
      <c r="W14" s="285">
        <f t="shared" si="7"/>
        <v>56019.4</v>
      </c>
      <c r="X14" s="285">
        <f t="shared" si="7"/>
        <v>56019.4</v>
      </c>
      <c r="Y14" s="285">
        <f t="shared" si="7"/>
        <v>56019.4</v>
      </c>
      <c r="Z14" s="286">
        <f t="shared" si="7"/>
        <v>51610.900000000009</v>
      </c>
    </row>
    <row r="15" spans="1:26" s="71" customFormat="1" ht="9.9" customHeight="1" x14ac:dyDescent="0.25">
      <c r="A15" s="269"/>
      <c r="B15" s="275" t="s">
        <v>134</v>
      </c>
      <c r="C15" s="276">
        <f t="shared" ref="C15:N15" si="8">SUM(C16:C17)</f>
        <v>19670.325000000001</v>
      </c>
      <c r="D15" s="276">
        <f t="shared" si="8"/>
        <v>19690.325000000001</v>
      </c>
      <c r="E15" s="276">
        <f t="shared" si="8"/>
        <v>19679.825000000001</v>
      </c>
      <c r="F15" s="276">
        <f t="shared" si="8"/>
        <v>19690.325000000001</v>
      </c>
      <c r="G15" s="276">
        <f t="shared" si="8"/>
        <v>19690.325000000001</v>
      </c>
      <c r="H15" s="276">
        <f t="shared" si="8"/>
        <v>21630.325000000001</v>
      </c>
      <c r="I15" s="276">
        <f>SUM(I16:I17)</f>
        <v>21630.325000000001</v>
      </c>
      <c r="J15" s="276">
        <f>SUM(J16:J17)</f>
        <v>21630.325000000001</v>
      </c>
      <c r="K15" s="276">
        <f t="shared" si="8"/>
        <v>25127.825000000001</v>
      </c>
      <c r="L15" s="276">
        <f t="shared" si="8"/>
        <v>25127.825000000001</v>
      </c>
      <c r="M15" s="276">
        <f t="shared" si="8"/>
        <v>27162.575000000001</v>
      </c>
      <c r="N15" s="277">
        <f t="shared" si="8"/>
        <v>27162.575000000001</v>
      </c>
      <c r="O15" s="278">
        <f>SUM(O16:O17)</f>
        <v>27162.575000000001</v>
      </c>
      <c r="P15" s="278">
        <f t="shared" ref="P15:Z15" si="9">SUM(P16:P17)</f>
        <v>27163.575000000001</v>
      </c>
      <c r="Q15" s="278">
        <f t="shared" si="9"/>
        <v>27163.575000000001</v>
      </c>
      <c r="R15" s="278">
        <f t="shared" si="9"/>
        <v>27163.575000000001</v>
      </c>
      <c r="S15" s="278">
        <f t="shared" si="9"/>
        <v>27163.575000000001</v>
      </c>
      <c r="T15" s="278">
        <f t="shared" si="9"/>
        <v>27163.775000000001</v>
      </c>
      <c r="U15" s="278">
        <f t="shared" si="9"/>
        <v>26773.775000000001</v>
      </c>
      <c r="V15" s="278">
        <f t="shared" si="9"/>
        <v>26772.775000000001</v>
      </c>
      <c r="W15" s="278">
        <f t="shared" si="9"/>
        <v>26773.775000000001</v>
      </c>
      <c r="X15" s="278">
        <f t="shared" si="9"/>
        <v>26773.775000000001</v>
      </c>
      <c r="Y15" s="278">
        <f t="shared" si="9"/>
        <v>26773.775000000001</v>
      </c>
      <c r="Z15" s="279">
        <f t="shared" si="9"/>
        <v>26057.899999999998</v>
      </c>
    </row>
    <row r="16" spans="1:26" s="82" customFormat="1" ht="9.9" customHeight="1" x14ac:dyDescent="0.2">
      <c r="A16" s="280"/>
      <c r="B16" s="100" t="s">
        <v>135</v>
      </c>
      <c r="C16" s="281">
        <v>348.15</v>
      </c>
      <c r="D16" s="281">
        <v>368.15</v>
      </c>
      <c r="E16" s="281">
        <v>368.15</v>
      </c>
      <c r="F16" s="281">
        <v>368.15</v>
      </c>
      <c r="G16" s="281">
        <v>368.15</v>
      </c>
      <c r="H16" s="281">
        <v>368.15</v>
      </c>
      <c r="I16" s="281">
        <v>368.15</v>
      </c>
      <c r="J16" s="281">
        <v>368.15</v>
      </c>
      <c r="K16" s="281">
        <v>368.15</v>
      </c>
      <c r="L16" s="281">
        <v>368.15</v>
      </c>
      <c r="M16" s="281">
        <v>382</v>
      </c>
      <c r="N16" s="282">
        <v>382</v>
      </c>
      <c r="O16" s="283">
        <v>382</v>
      </c>
      <c r="P16" s="283">
        <v>383</v>
      </c>
      <c r="Q16" s="283">
        <v>383</v>
      </c>
      <c r="R16" s="283">
        <v>383</v>
      </c>
      <c r="S16" s="283">
        <v>383</v>
      </c>
      <c r="T16" s="283">
        <v>383.2</v>
      </c>
      <c r="U16" s="283">
        <v>383.2</v>
      </c>
      <c r="V16" s="283">
        <v>382.2</v>
      </c>
      <c r="W16" s="283">
        <v>383.2</v>
      </c>
      <c r="X16" s="283">
        <v>383.2</v>
      </c>
      <c r="Y16" s="283">
        <v>383.2</v>
      </c>
      <c r="Z16" s="284">
        <v>319.17500000000001</v>
      </c>
    </row>
    <row r="17" spans="1:26" s="82" customFormat="1" ht="9.9" customHeight="1" x14ac:dyDescent="0.2">
      <c r="A17" s="280"/>
      <c r="B17" s="100" t="s">
        <v>136</v>
      </c>
      <c r="C17" s="281">
        <v>19322.174999999999</v>
      </c>
      <c r="D17" s="281">
        <v>19322.174999999999</v>
      </c>
      <c r="E17" s="281">
        <v>19311.674999999999</v>
      </c>
      <c r="F17" s="281">
        <v>19322.174999999999</v>
      </c>
      <c r="G17" s="281">
        <v>19322.174999999999</v>
      </c>
      <c r="H17" s="281">
        <v>21262.174999999999</v>
      </c>
      <c r="I17" s="281">
        <v>21262.174999999999</v>
      </c>
      <c r="J17" s="281">
        <v>21262.174999999999</v>
      </c>
      <c r="K17" s="281">
        <v>24759.674999999999</v>
      </c>
      <c r="L17" s="281">
        <v>24759.674999999999</v>
      </c>
      <c r="M17" s="281">
        <v>26780.575000000001</v>
      </c>
      <c r="N17" s="282">
        <v>26780.575000000001</v>
      </c>
      <c r="O17" s="283">
        <v>26780.575000000001</v>
      </c>
      <c r="P17" s="283">
        <v>26780.575000000001</v>
      </c>
      <c r="Q17" s="283">
        <v>26780.575000000001</v>
      </c>
      <c r="R17" s="283">
        <v>26780.575000000001</v>
      </c>
      <c r="S17" s="283">
        <v>26780.575000000001</v>
      </c>
      <c r="T17" s="283">
        <v>26780.575000000001</v>
      </c>
      <c r="U17" s="283">
        <v>26390.575000000001</v>
      </c>
      <c r="V17" s="283">
        <v>26390.575000000001</v>
      </c>
      <c r="W17" s="283">
        <v>26390.575000000001</v>
      </c>
      <c r="X17" s="283">
        <v>26390.575000000001</v>
      </c>
      <c r="Y17" s="283">
        <v>26390.575000000001</v>
      </c>
      <c r="Z17" s="284">
        <v>25738.724999999999</v>
      </c>
    </row>
    <row r="18" spans="1:26" s="82" customFormat="1" ht="9.9" customHeight="1" x14ac:dyDescent="0.25">
      <c r="A18" s="280"/>
      <c r="B18" s="275" t="s">
        <v>137</v>
      </c>
      <c r="C18" s="276">
        <f t="shared" ref="C18:N18" si="10">SUM(C19:C21)</f>
        <v>23849.075000000001</v>
      </c>
      <c r="D18" s="276">
        <f t="shared" si="10"/>
        <v>23829.075000000001</v>
      </c>
      <c r="E18" s="276">
        <f t="shared" si="10"/>
        <v>23839.575000000001</v>
      </c>
      <c r="F18" s="276">
        <f t="shared" si="10"/>
        <v>23829.075000000001</v>
      </c>
      <c r="G18" s="276">
        <f t="shared" si="10"/>
        <v>23829.075000000001</v>
      </c>
      <c r="H18" s="276">
        <f t="shared" si="10"/>
        <v>25389.075000000001</v>
      </c>
      <c r="I18" s="276">
        <f>SUM(I19:I21)</f>
        <v>25389.075000000001</v>
      </c>
      <c r="J18" s="276">
        <f>SUM(J19:J21)</f>
        <v>25389.075000000001</v>
      </c>
      <c r="K18" s="276">
        <f>SUM(K19:K21)</f>
        <v>28391.575000000001</v>
      </c>
      <c r="L18" s="276">
        <f>SUM(L19:L21)</f>
        <v>28391.575000000001</v>
      </c>
      <c r="M18" s="276">
        <f t="shared" si="10"/>
        <v>30356.825000000001</v>
      </c>
      <c r="N18" s="277">
        <f t="shared" si="10"/>
        <v>30356.825000000001</v>
      </c>
      <c r="O18" s="278">
        <f>SUM(O19:O21)</f>
        <v>30356.825000000001</v>
      </c>
      <c r="P18" s="278">
        <f t="shared" ref="P18:Z18" si="11">SUM(P19:P21)</f>
        <v>30355.825000000001</v>
      </c>
      <c r="Q18" s="278">
        <f t="shared" si="11"/>
        <v>30355.825000000001</v>
      </c>
      <c r="R18" s="278">
        <f t="shared" si="11"/>
        <v>30355.825000000001</v>
      </c>
      <c r="S18" s="278">
        <f t="shared" si="11"/>
        <v>30355.825000000001</v>
      </c>
      <c r="T18" s="278">
        <f t="shared" si="11"/>
        <v>30355.625</v>
      </c>
      <c r="U18" s="278">
        <f t="shared" si="11"/>
        <v>29245.625000000004</v>
      </c>
      <c r="V18" s="278">
        <f t="shared" si="11"/>
        <v>29246.625</v>
      </c>
      <c r="W18" s="278">
        <f t="shared" si="11"/>
        <v>29245.625</v>
      </c>
      <c r="X18" s="278">
        <f t="shared" si="11"/>
        <v>29245.625</v>
      </c>
      <c r="Y18" s="278">
        <f t="shared" si="11"/>
        <v>29245.625</v>
      </c>
      <c r="Z18" s="279">
        <f t="shared" si="11"/>
        <v>25553.000000000007</v>
      </c>
    </row>
    <row r="19" spans="1:26" s="82" customFormat="1" ht="9.9" customHeight="1" x14ac:dyDescent="0.2">
      <c r="A19" s="280"/>
      <c r="B19" s="100" t="s">
        <v>138</v>
      </c>
      <c r="C19" s="281">
        <v>814.07500000000005</v>
      </c>
      <c r="D19" s="281">
        <v>794.07500000000005</v>
      </c>
      <c r="E19" s="281">
        <v>794.07500000000005</v>
      </c>
      <c r="F19" s="281">
        <v>794.07500000000005</v>
      </c>
      <c r="G19" s="281">
        <v>794.07500000000005</v>
      </c>
      <c r="H19" s="281">
        <v>949.07500000000005</v>
      </c>
      <c r="I19" s="281">
        <v>949.07500000000005</v>
      </c>
      <c r="J19" s="281">
        <v>949.07500000000005</v>
      </c>
      <c r="K19" s="281">
        <v>1178.075</v>
      </c>
      <c r="L19" s="281">
        <v>1178.075</v>
      </c>
      <c r="M19" s="281">
        <v>1712.175</v>
      </c>
      <c r="N19" s="282">
        <v>1712.175</v>
      </c>
      <c r="O19" s="283">
        <v>1712.175</v>
      </c>
      <c r="P19" s="283">
        <v>1712.175</v>
      </c>
      <c r="Q19" s="283">
        <v>1712.175</v>
      </c>
      <c r="R19" s="283">
        <v>1712.175</v>
      </c>
      <c r="S19" s="283">
        <v>1712.175</v>
      </c>
      <c r="T19" s="283">
        <v>1712.175</v>
      </c>
      <c r="U19" s="283">
        <v>1525.675</v>
      </c>
      <c r="V19" s="283">
        <v>1525.675</v>
      </c>
      <c r="W19" s="283">
        <v>1525.675</v>
      </c>
      <c r="X19" s="283">
        <v>1525.675</v>
      </c>
      <c r="Y19" s="283">
        <v>1525.675</v>
      </c>
      <c r="Z19" s="284">
        <v>1503.575</v>
      </c>
    </row>
    <row r="20" spans="1:26" s="82" customFormat="1" ht="9.9" customHeight="1" x14ac:dyDescent="0.2">
      <c r="A20" s="280"/>
      <c r="B20" s="100" t="s">
        <v>139</v>
      </c>
      <c r="C20" s="281">
        <v>1462.8</v>
      </c>
      <c r="D20" s="281">
        <v>1462.8</v>
      </c>
      <c r="E20" s="281">
        <v>1462.8</v>
      </c>
      <c r="F20" s="281">
        <v>1462.8</v>
      </c>
      <c r="G20" s="281">
        <v>1462.8</v>
      </c>
      <c r="H20" s="281">
        <v>1467.8</v>
      </c>
      <c r="I20" s="281">
        <v>1467.8</v>
      </c>
      <c r="J20" s="281">
        <v>1467.8</v>
      </c>
      <c r="K20" s="281">
        <v>1641.3</v>
      </c>
      <c r="L20" s="281">
        <v>1641.3</v>
      </c>
      <c r="M20" s="281">
        <v>1872.45</v>
      </c>
      <c r="N20" s="282">
        <v>1872.45</v>
      </c>
      <c r="O20" s="283">
        <v>1872.45</v>
      </c>
      <c r="P20" s="283">
        <v>1871.45</v>
      </c>
      <c r="Q20" s="283">
        <v>1871.45</v>
      </c>
      <c r="R20" s="283">
        <v>1871.45</v>
      </c>
      <c r="S20" s="283">
        <v>1871.45</v>
      </c>
      <c r="T20" s="283">
        <v>1875.45</v>
      </c>
      <c r="U20" s="283">
        <v>1679.45</v>
      </c>
      <c r="V20" s="283">
        <v>1679.45</v>
      </c>
      <c r="W20" s="283">
        <v>1679.45</v>
      </c>
      <c r="X20" s="283">
        <v>1679.45</v>
      </c>
      <c r="Y20" s="283">
        <v>1679.45</v>
      </c>
      <c r="Z20" s="284">
        <v>1551.375</v>
      </c>
    </row>
    <row r="21" spans="1:26" s="82" customFormat="1" ht="9.9" customHeight="1" x14ac:dyDescent="0.2">
      <c r="A21" s="280"/>
      <c r="B21" s="100" t="s">
        <v>140</v>
      </c>
      <c r="C21" s="281">
        <f>43519.4-C16-C17-C19-C20</f>
        <v>21572.2</v>
      </c>
      <c r="D21" s="281">
        <f>43519.4-D16-D17-D19-D20</f>
        <v>21572.2</v>
      </c>
      <c r="E21" s="281">
        <f>43519.4-E16-E17-E19-E20</f>
        <v>21582.7</v>
      </c>
      <c r="F21" s="281">
        <f>43519.4-F16-F17-F19-F20</f>
        <v>21572.2</v>
      </c>
      <c r="G21" s="281">
        <f>43519.4-368.15-19322.175-794.075-1462.8</f>
        <v>21572.2</v>
      </c>
      <c r="H21" s="281">
        <f>47019.4-H16-H17-H19-H20</f>
        <v>22972.2</v>
      </c>
      <c r="I21" s="281">
        <f>47019.4-I16-I17-I19-I20</f>
        <v>22972.2</v>
      </c>
      <c r="J21" s="281">
        <f>47019.4-J16-J17-J19-J20</f>
        <v>22972.2</v>
      </c>
      <c r="K21" s="281">
        <f>53519.4-K15-K19-K20</f>
        <v>25572.2</v>
      </c>
      <c r="L21" s="281">
        <f>53519.4-L15-L19-L20</f>
        <v>25572.2</v>
      </c>
      <c r="M21" s="281">
        <f>57519.4-M20-M19-M15</f>
        <v>26772.2</v>
      </c>
      <c r="N21" s="282">
        <f>57519.4-N15-N19-N20</f>
        <v>26772.2</v>
      </c>
      <c r="O21" s="283">
        <f>57519.4-O15-O19-O20</f>
        <v>26772.2</v>
      </c>
      <c r="P21" s="283">
        <f>57519.4-P15-P19-P20</f>
        <v>26772.2</v>
      </c>
      <c r="Q21" s="283">
        <f>57519.4-Q20-Q19-Q15</f>
        <v>26772.2</v>
      </c>
      <c r="R21" s="283">
        <f>57519.4-R20-R19-R15</f>
        <v>26772.2</v>
      </c>
      <c r="S21" s="283">
        <f>57519.4-S20-S19-S15</f>
        <v>26772.2</v>
      </c>
      <c r="T21" s="283">
        <f>57519.4-T20-T19-T15</f>
        <v>26768</v>
      </c>
      <c r="U21" s="283">
        <f>56019.4-U16-U17-U19-U20</f>
        <v>26040.500000000004</v>
      </c>
      <c r="V21" s="283">
        <f>56019.4-V20-V19-V17-V16</f>
        <v>26041.5</v>
      </c>
      <c r="W21" s="283">
        <f>56019.4-W20-W19-W15</f>
        <v>26040.5</v>
      </c>
      <c r="X21" s="283">
        <f>56019.4-X19-X20-X15</f>
        <v>26040.5</v>
      </c>
      <c r="Y21" s="283">
        <f>56019.4-Y20-Y19-Y15</f>
        <v>26040.5</v>
      </c>
      <c r="Z21" s="284">
        <f>51610.9-Z19-Z20-Z15</f>
        <v>22498.050000000007</v>
      </c>
    </row>
    <row r="22" spans="1:26" s="71" customFormat="1" ht="9.9" customHeight="1" x14ac:dyDescent="0.2">
      <c r="A22" s="269">
        <v>3</v>
      </c>
      <c r="B22" s="270" t="s">
        <v>113</v>
      </c>
      <c r="C22" s="271">
        <f t="shared" ref="C22:M22" si="12">C23+C26</f>
        <v>10680</v>
      </c>
      <c r="D22" s="271">
        <f t="shared" si="12"/>
        <v>10680</v>
      </c>
      <c r="E22" s="271">
        <f t="shared" si="12"/>
        <v>10680</v>
      </c>
      <c r="F22" s="271">
        <f t="shared" si="12"/>
        <v>10680</v>
      </c>
      <c r="G22" s="271">
        <f t="shared" si="12"/>
        <v>10680</v>
      </c>
      <c r="H22" s="271">
        <f t="shared" si="12"/>
        <v>10680</v>
      </c>
      <c r="I22" s="271">
        <f>I23+I26</f>
        <v>10680</v>
      </c>
      <c r="J22" s="271">
        <f>J23+J26</f>
        <v>10680</v>
      </c>
      <c r="K22" s="271">
        <f t="shared" si="12"/>
        <v>12180</v>
      </c>
      <c r="L22" s="271">
        <f>L23+L26</f>
        <v>12180</v>
      </c>
      <c r="M22" s="271">
        <f t="shared" si="12"/>
        <v>12180</v>
      </c>
      <c r="N22" s="272">
        <f>N23+N26</f>
        <v>15680</v>
      </c>
      <c r="O22" s="285">
        <f>O23+O26</f>
        <v>15680</v>
      </c>
      <c r="P22" s="285">
        <f t="shared" ref="P22:Z22" si="13">P23+P26</f>
        <v>15680</v>
      </c>
      <c r="Q22" s="285">
        <f t="shared" si="13"/>
        <v>15679.999999999998</v>
      </c>
      <c r="R22" s="285">
        <f t="shared" si="13"/>
        <v>15679.999999999998</v>
      </c>
      <c r="S22" s="285">
        <f t="shared" si="13"/>
        <v>15679.999999999998</v>
      </c>
      <c r="T22" s="285">
        <f t="shared" si="13"/>
        <v>15680</v>
      </c>
      <c r="U22" s="285">
        <f t="shared" si="13"/>
        <v>15680</v>
      </c>
      <c r="V22" s="285">
        <f t="shared" si="13"/>
        <v>15680</v>
      </c>
      <c r="W22" s="285">
        <f t="shared" si="13"/>
        <v>15680</v>
      </c>
      <c r="X22" s="285">
        <f t="shared" si="13"/>
        <v>15680</v>
      </c>
      <c r="Y22" s="285">
        <f t="shared" si="13"/>
        <v>15680</v>
      </c>
      <c r="Z22" s="286">
        <f t="shared" si="13"/>
        <v>15680</v>
      </c>
    </row>
    <row r="23" spans="1:26" s="71" customFormat="1" ht="9.9" customHeight="1" x14ac:dyDescent="0.25">
      <c r="A23" s="269"/>
      <c r="B23" s="275" t="s">
        <v>134</v>
      </c>
      <c r="C23" s="276">
        <f t="shared" ref="C23:N23" si="14">SUM(C24:C25)</f>
        <v>10.86</v>
      </c>
      <c r="D23" s="276">
        <f t="shared" si="14"/>
        <v>10.86</v>
      </c>
      <c r="E23" s="276">
        <f t="shared" si="14"/>
        <v>12.76</v>
      </c>
      <c r="F23" s="276">
        <f t="shared" si="14"/>
        <v>12.76</v>
      </c>
      <c r="G23" s="276">
        <f t="shared" si="14"/>
        <v>13.46</v>
      </c>
      <c r="H23" s="276">
        <f t="shared" si="14"/>
        <v>14.46</v>
      </c>
      <c r="I23" s="276">
        <f>SUM(I24:I25)</f>
        <v>14.46</v>
      </c>
      <c r="J23" s="276">
        <f>SUM(J24:J25)</f>
        <v>14.46</v>
      </c>
      <c r="K23" s="276">
        <f t="shared" si="14"/>
        <v>14.46</v>
      </c>
      <c r="L23" s="276">
        <f>SUM(L24:L25)</f>
        <v>14.96</v>
      </c>
      <c r="M23" s="276">
        <f t="shared" si="14"/>
        <v>14.96</v>
      </c>
      <c r="N23" s="277">
        <f t="shared" si="14"/>
        <v>14.96</v>
      </c>
      <c r="O23" s="278">
        <f>SUM(O24:O25)</f>
        <v>16.46</v>
      </c>
      <c r="P23" s="278">
        <f t="shared" ref="P23:Z23" si="15">SUM(P24:P25)</f>
        <v>16.46</v>
      </c>
      <c r="Q23" s="278">
        <f t="shared" si="15"/>
        <v>16.46</v>
      </c>
      <c r="R23" s="278">
        <f t="shared" si="15"/>
        <v>16.46</v>
      </c>
      <c r="S23" s="278">
        <f t="shared" si="15"/>
        <v>16.46</v>
      </c>
      <c r="T23" s="278">
        <f t="shared" si="15"/>
        <v>16.760000000000002</v>
      </c>
      <c r="U23" s="278">
        <f t="shared" si="15"/>
        <v>16.760000000000002</v>
      </c>
      <c r="V23" s="278">
        <f t="shared" si="15"/>
        <v>16.760000000000002</v>
      </c>
      <c r="W23" s="278">
        <f t="shared" si="15"/>
        <v>16.760000000000002</v>
      </c>
      <c r="X23" s="278">
        <f t="shared" si="15"/>
        <v>16.760000000000002</v>
      </c>
      <c r="Y23" s="278">
        <f t="shared" si="15"/>
        <v>16.760000000000002</v>
      </c>
      <c r="Z23" s="279">
        <f t="shared" si="15"/>
        <v>17.36</v>
      </c>
    </row>
    <row r="24" spans="1:26" s="82" customFormat="1" ht="9.9" customHeight="1" x14ac:dyDescent="0.2">
      <c r="A24" s="280"/>
      <c r="B24" s="100" t="s">
        <v>135</v>
      </c>
      <c r="C24" s="281">
        <v>10.86</v>
      </c>
      <c r="D24" s="281">
        <v>10.86</v>
      </c>
      <c r="E24" s="281">
        <v>12.76</v>
      </c>
      <c r="F24" s="281">
        <v>12.76</v>
      </c>
      <c r="G24" s="281">
        <v>13.46</v>
      </c>
      <c r="H24" s="281">
        <v>14.46</v>
      </c>
      <c r="I24" s="281">
        <v>14.46</v>
      </c>
      <c r="J24" s="281">
        <v>14.46</v>
      </c>
      <c r="K24" s="281">
        <v>14.46</v>
      </c>
      <c r="L24" s="281">
        <v>14.96</v>
      </c>
      <c r="M24" s="281">
        <v>14.96</v>
      </c>
      <c r="N24" s="282">
        <v>14.96</v>
      </c>
      <c r="O24" s="283">
        <v>16.46</v>
      </c>
      <c r="P24" s="283">
        <v>16.46</v>
      </c>
      <c r="Q24" s="283">
        <v>16.46</v>
      </c>
      <c r="R24" s="283">
        <v>16.46</v>
      </c>
      <c r="S24" s="283">
        <v>16.46</v>
      </c>
      <c r="T24" s="283">
        <v>16.760000000000002</v>
      </c>
      <c r="U24" s="283">
        <v>16.760000000000002</v>
      </c>
      <c r="V24" s="283">
        <v>16.760000000000002</v>
      </c>
      <c r="W24" s="283">
        <v>16.760000000000002</v>
      </c>
      <c r="X24" s="283">
        <v>16.760000000000002</v>
      </c>
      <c r="Y24" s="283">
        <v>16.760000000000002</v>
      </c>
      <c r="Z24" s="284">
        <v>17.36</v>
      </c>
    </row>
    <row r="25" spans="1:26" s="82" customFormat="1" ht="9.9" customHeight="1" x14ac:dyDescent="0.2">
      <c r="A25" s="280"/>
      <c r="B25" s="100" t="s">
        <v>136</v>
      </c>
      <c r="C25" s="281">
        <v>0</v>
      </c>
      <c r="D25" s="281">
        <v>0</v>
      </c>
      <c r="E25" s="281">
        <v>0</v>
      </c>
      <c r="F25" s="281">
        <v>0</v>
      </c>
      <c r="G25" s="281">
        <v>0</v>
      </c>
      <c r="H25" s="281">
        <v>0</v>
      </c>
      <c r="I25" s="281">
        <v>0</v>
      </c>
      <c r="J25" s="281">
        <v>0</v>
      </c>
      <c r="K25" s="281">
        <v>0</v>
      </c>
      <c r="L25" s="281">
        <v>0</v>
      </c>
      <c r="M25" s="281">
        <v>0</v>
      </c>
      <c r="N25" s="282">
        <v>0</v>
      </c>
      <c r="O25" s="283">
        <v>0</v>
      </c>
      <c r="P25" s="283">
        <v>0</v>
      </c>
      <c r="Q25" s="283">
        <v>0</v>
      </c>
      <c r="R25" s="283">
        <v>0</v>
      </c>
      <c r="S25" s="283">
        <v>0</v>
      </c>
      <c r="T25" s="283">
        <v>0</v>
      </c>
      <c r="U25" s="283">
        <v>0</v>
      </c>
      <c r="V25" s="283">
        <v>0</v>
      </c>
      <c r="W25" s="283">
        <v>0</v>
      </c>
      <c r="X25" s="283">
        <v>0</v>
      </c>
      <c r="Y25" s="283">
        <v>0</v>
      </c>
      <c r="Z25" s="284">
        <v>0</v>
      </c>
    </row>
    <row r="26" spans="1:26" s="82" customFormat="1" ht="9.9" customHeight="1" x14ac:dyDescent="0.25">
      <c r="A26" s="280"/>
      <c r="B26" s="275" t="s">
        <v>137</v>
      </c>
      <c r="C26" s="287">
        <f t="shared" ref="C26:M26" si="16">SUM(C27:C29)</f>
        <v>10669.14</v>
      </c>
      <c r="D26" s="287">
        <f t="shared" si="16"/>
        <v>10669.14</v>
      </c>
      <c r="E26" s="287">
        <f t="shared" si="16"/>
        <v>10667.24</v>
      </c>
      <c r="F26" s="287">
        <f t="shared" si="16"/>
        <v>10667.24</v>
      </c>
      <c r="G26" s="287">
        <f t="shared" si="16"/>
        <v>10666.54</v>
      </c>
      <c r="H26" s="287">
        <f t="shared" si="16"/>
        <v>10665.54</v>
      </c>
      <c r="I26" s="287">
        <f>SUM(I27:I29)</f>
        <v>10665.54</v>
      </c>
      <c r="J26" s="287">
        <f>SUM(J27:J29)</f>
        <v>10665.54</v>
      </c>
      <c r="K26" s="287">
        <f t="shared" si="16"/>
        <v>12165.54</v>
      </c>
      <c r="L26" s="287">
        <f>SUM(L27:L29)</f>
        <v>12165.04</v>
      </c>
      <c r="M26" s="287">
        <f t="shared" si="16"/>
        <v>12165.04</v>
      </c>
      <c r="N26" s="288">
        <f>SUM(N27:N29)</f>
        <v>15665.04</v>
      </c>
      <c r="O26" s="289">
        <f>SUM(O27:O29)</f>
        <v>15663.54</v>
      </c>
      <c r="P26" s="289">
        <f t="shared" ref="P26:Z26" si="17">SUM(P27:P29)</f>
        <v>15663.54</v>
      </c>
      <c r="Q26" s="289">
        <f t="shared" si="17"/>
        <v>15663.539999999999</v>
      </c>
      <c r="R26" s="289">
        <f t="shared" si="17"/>
        <v>15663.539999999999</v>
      </c>
      <c r="S26" s="289">
        <f t="shared" si="17"/>
        <v>15663.539999999999</v>
      </c>
      <c r="T26" s="289">
        <f t="shared" si="17"/>
        <v>15663.24</v>
      </c>
      <c r="U26" s="289">
        <f t="shared" si="17"/>
        <v>15663.24</v>
      </c>
      <c r="V26" s="289">
        <f t="shared" si="17"/>
        <v>15663.24</v>
      </c>
      <c r="W26" s="289">
        <f t="shared" si="17"/>
        <v>15663.24</v>
      </c>
      <c r="X26" s="289">
        <f t="shared" si="17"/>
        <v>15663.24</v>
      </c>
      <c r="Y26" s="289">
        <f t="shared" si="17"/>
        <v>15663.24</v>
      </c>
      <c r="Z26" s="290">
        <f t="shared" si="17"/>
        <v>15662.64</v>
      </c>
    </row>
    <row r="27" spans="1:26" s="82" customFormat="1" ht="9.9" customHeight="1" x14ac:dyDescent="0.2">
      <c r="A27" s="280"/>
      <c r="B27" s="100" t="s">
        <v>138</v>
      </c>
      <c r="C27" s="281">
        <v>0</v>
      </c>
      <c r="D27" s="281">
        <v>0</v>
      </c>
      <c r="E27" s="281">
        <v>0</v>
      </c>
      <c r="F27" s="281">
        <v>0</v>
      </c>
      <c r="G27" s="281">
        <v>0</v>
      </c>
      <c r="H27" s="281">
        <v>0</v>
      </c>
      <c r="I27" s="281">
        <v>0</v>
      </c>
      <c r="J27" s="281">
        <v>0</v>
      </c>
      <c r="K27" s="281">
        <v>0</v>
      </c>
      <c r="L27" s="281">
        <v>0</v>
      </c>
      <c r="M27" s="281">
        <v>0</v>
      </c>
      <c r="N27" s="282">
        <v>0</v>
      </c>
      <c r="O27" s="283">
        <v>0</v>
      </c>
      <c r="P27" s="283">
        <v>0</v>
      </c>
      <c r="Q27" s="283">
        <v>0</v>
      </c>
      <c r="R27" s="283">
        <v>0</v>
      </c>
      <c r="S27" s="283">
        <v>0</v>
      </c>
      <c r="T27" s="283">
        <v>0</v>
      </c>
      <c r="U27" s="283">
        <v>0</v>
      </c>
      <c r="V27" s="283">
        <v>0</v>
      </c>
      <c r="W27" s="283">
        <v>0</v>
      </c>
      <c r="X27" s="283">
        <v>0</v>
      </c>
      <c r="Y27" s="283">
        <v>0</v>
      </c>
      <c r="Z27" s="284">
        <v>0</v>
      </c>
    </row>
    <row r="28" spans="1:26" s="82" customFormat="1" ht="9.9" customHeight="1" x14ac:dyDescent="0.2">
      <c r="A28" s="280"/>
      <c r="B28" s="100" t="s">
        <v>139</v>
      </c>
      <c r="C28" s="281">
        <v>0</v>
      </c>
      <c r="D28" s="281">
        <v>0</v>
      </c>
      <c r="E28" s="281">
        <v>0</v>
      </c>
      <c r="F28" s="281">
        <v>0</v>
      </c>
      <c r="G28" s="281">
        <v>0</v>
      </c>
      <c r="H28" s="281">
        <v>0</v>
      </c>
      <c r="I28" s="281">
        <v>0</v>
      </c>
      <c r="J28" s="281">
        <v>0</v>
      </c>
      <c r="K28" s="281">
        <v>0</v>
      </c>
      <c r="L28" s="281">
        <v>0</v>
      </c>
      <c r="M28" s="281">
        <v>0</v>
      </c>
      <c r="N28" s="282">
        <v>0</v>
      </c>
      <c r="O28" s="283">
        <v>0</v>
      </c>
      <c r="P28" s="283">
        <v>0</v>
      </c>
      <c r="Q28" s="283">
        <v>0</v>
      </c>
      <c r="R28" s="283">
        <v>0</v>
      </c>
      <c r="S28" s="283">
        <v>0</v>
      </c>
      <c r="T28" s="283">
        <v>1.01</v>
      </c>
      <c r="U28" s="283">
        <v>0.31</v>
      </c>
      <c r="V28" s="283">
        <v>0.01</v>
      </c>
      <c r="W28" s="283">
        <v>0.01</v>
      </c>
      <c r="X28" s="283">
        <v>0.01</v>
      </c>
      <c r="Y28" s="283">
        <v>0.01</v>
      </c>
      <c r="Z28" s="284">
        <v>0.01</v>
      </c>
    </row>
    <row r="29" spans="1:26" s="82" customFormat="1" ht="9.9" customHeight="1" x14ac:dyDescent="0.2">
      <c r="A29" s="280"/>
      <c r="B29" s="100" t="s">
        <v>140</v>
      </c>
      <c r="C29" s="281">
        <f>10680-C24</f>
        <v>10669.14</v>
      </c>
      <c r="D29" s="281">
        <f>10680-D24</f>
        <v>10669.14</v>
      </c>
      <c r="E29" s="281">
        <f>10680-E24</f>
        <v>10667.24</v>
      </c>
      <c r="F29" s="281">
        <f>10680-F24</f>
        <v>10667.24</v>
      </c>
      <c r="G29" s="281">
        <f>10680-13.46</f>
        <v>10666.54</v>
      </c>
      <c r="H29" s="281">
        <f>10680-H24</f>
        <v>10665.54</v>
      </c>
      <c r="I29" s="281">
        <f>10680-I24</f>
        <v>10665.54</v>
      </c>
      <c r="J29" s="281">
        <f>10680-J24</f>
        <v>10665.54</v>
      </c>
      <c r="K29" s="281">
        <f>12180-K24</f>
        <v>12165.54</v>
      </c>
      <c r="L29" s="281">
        <f>12180-L24</f>
        <v>12165.04</v>
      </c>
      <c r="M29" s="281">
        <f>12180-M23</f>
        <v>12165.04</v>
      </c>
      <c r="N29" s="282">
        <f>15680-N24</f>
        <v>15665.04</v>
      </c>
      <c r="O29" s="283">
        <f>15680-O24</f>
        <v>15663.54</v>
      </c>
      <c r="P29" s="283">
        <f>15680-P24</f>
        <v>15663.54</v>
      </c>
      <c r="Q29" s="283">
        <f>947.175+0.11+14716.255</f>
        <v>15663.539999999999</v>
      </c>
      <c r="R29" s="283">
        <f>947.175+0.11+14716.255</f>
        <v>15663.539999999999</v>
      </c>
      <c r="S29" s="283">
        <f>946.675+14716.255+0.61</f>
        <v>15663.539999999999</v>
      </c>
      <c r="T29" s="283">
        <f>945.975+14716.255</f>
        <v>15662.23</v>
      </c>
      <c r="U29" s="283">
        <f>15680-U24-U28</f>
        <v>15662.93</v>
      </c>
      <c r="V29" s="283">
        <f>946.975+14716.255</f>
        <v>15663.23</v>
      </c>
      <c r="W29" s="283">
        <f>946.975+14716.255</f>
        <v>15663.23</v>
      </c>
      <c r="X29" s="283">
        <f>946.975+14716.255</f>
        <v>15663.23</v>
      </c>
      <c r="Y29" s="283">
        <f>946.975+14716.255</f>
        <v>15663.23</v>
      </c>
      <c r="Z29" s="284">
        <f>946.375+14716.255</f>
        <v>15662.63</v>
      </c>
    </row>
    <row r="30" spans="1:26" s="82" customFormat="1" ht="9.9" customHeight="1" x14ac:dyDescent="0.2">
      <c r="A30" s="269">
        <v>4</v>
      </c>
      <c r="B30" s="270" t="s">
        <v>114</v>
      </c>
      <c r="C30" s="271">
        <f>C31+C34</f>
        <v>4630.2740000000003</v>
      </c>
      <c r="D30" s="271">
        <f>D31+D34</f>
        <v>4630.2740000000003</v>
      </c>
      <c r="E30" s="271">
        <f>E31+E34</f>
        <v>4630.2740000000003</v>
      </c>
      <c r="F30" s="271">
        <f>F31+F34</f>
        <v>4630.2740000000003</v>
      </c>
      <c r="G30" s="271">
        <f t="shared" ref="G30:N30" si="18">G31+G34</f>
        <v>4630.2740000000003</v>
      </c>
      <c r="H30" s="271">
        <f t="shared" si="18"/>
        <v>4630.2740000000003</v>
      </c>
      <c r="I30" s="271">
        <f>I31+I34</f>
        <v>4630.2740000000003</v>
      </c>
      <c r="J30" s="271">
        <f>J31+J34</f>
        <v>4630.2740000000003</v>
      </c>
      <c r="K30" s="271">
        <f t="shared" si="18"/>
        <v>4630.2740000000003</v>
      </c>
      <c r="L30" s="271">
        <f>L31+L34</f>
        <v>4756.84</v>
      </c>
      <c r="M30" s="271">
        <f t="shared" si="18"/>
        <v>4756.84</v>
      </c>
      <c r="N30" s="272">
        <f t="shared" si="18"/>
        <v>4139.0969999999998</v>
      </c>
      <c r="O30" s="285">
        <f>O31+O34</f>
        <v>4139.0969999999998</v>
      </c>
      <c r="P30" s="285">
        <f t="shared" ref="P30:Z30" si="19">P31+P34</f>
        <v>4139.0969999999998</v>
      </c>
      <c r="Q30" s="285">
        <f t="shared" si="19"/>
        <v>4139.0969999999998</v>
      </c>
      <c r="R30" s="285">
        <f t="shared" si="19"/>
        <v>4139.0969999999998</v>
      </c>
      <c r="S30" s="285">
        <f t="shared" si="19"/>
        <v>4139.0969999999998</v>
      </c>
      <c r="T30" s="285">
        <f t="shared" si="19"/>
        <v>4139.0769999999993</v>
      </c>
      <c r="U30" s="285">
        <f t="shared" si="19"/>
        <v>4139.0969999999998</v>
      </c>
      <c r="V30" s="285">
        <f t="shared" si="19"/>
        <v>3539.0769999999993</v>
      </c>
      <c r="W30" s="285">
        <f t="shared" si="19"/>
        <v>3539.0970000000002</v>
      </c>
      <c r="X30" s="285">
        <f t="shared" si="19"/>
        <v>3539.0970000000002</v>
      </c>
      <c r="Y30" s="285">
        <f t="shared" si="19"/>
        <v>3199.8470000000002</v>
      </c>
      <c r="Z30" s="286">
        <f t="shared" si="19"/>
        <v>3242.7020000000002</v>
      </c>
    </row>
    <row r="31" spans="1:26" s="82" customFormat="1" ht="9.9" customHeight="1" x14ac:dyDescent="0.25">
      <c r="A31" s="269"/>
      <c r="B31" s="275" t="s">
        <v>134</v>
      </c>
      <c r="C31" s="276">
        <f t="shared" ref="C31:N31" si="20">SUM(C32:C33)</f>
        <v>3174.1550000000002</v>
      </c>
      <c r="D31" s="276">
        <f t="shared" si="20"/>
        <v>3197.7649999999999</v>
      </c>
      <c r="E31" s="276">
        <f t="shared" si="20"/>
        <v>3203.23</v>
      </c>
      <c r="F31" s="276">
        <f t="shared" si="20"/>
        <v>3205.63</v>
      </c>
      <c r="G31" s="276">
        <f t="shared" si="20"/>
        <v>3215.105</v>
      </c>
      <c r="H31" s="276">
        <f t="shared" si="20"/>
        <v>3222.8150000000001</v>
      </c>
      <c r="I31" s="276">
        <f>SUM(I32:I33)</f>
        <v>3226.2150000000001</v>
      </c>
      <c r="J31" s="276">
        <f>SUM(J32:J33)</f>
        <v>3226.5650000000001</v>
      </c>
      <c r="K31" s="276">
        <f t="shared" si="20"/>
        <v>3240.0250000000001</v>
      </c>
      <c r="L31" s="276">
        <f>SUM(L32:L33)</f>
        <v>3264.6219999999998</v>
      </c>
      <c r="M31" s="276">
        <f t="shared" si="20"/>
        <v>3267.9119999999998</v>
      </c>
      <c r="N31" s="277">
        <f t="shared" si="20"/>
        <v>2753.319</v>
      </c>
      <c r="O31" s="278">
        <f>SUM(O32:O33)</f>
        <v>2755.5189999999998</v>
      </c>
      <c r="P31" s="278">
        <f t="shared" ref="P31:Z31" si="21">SUM(P32:P33)</f>
        <v>2755.5189999999998</v>
      </c>
      <c r="Q31" s="278">
        <f t="shared" si="21"/>
        <v>2755.6190000000001</v>
      </c>
      <c r="R31" s="278">
        <f t="shared" si="21"/>
        <v>2755.6190000000001</v>
      </c>
      <c r="S31" s="278">
        <f t="shared" si="21"/>
        <v>2762.739</v>
      </c>
      <c r="T31" s="278">
        <f t="shared" si="21"/>
        <v>2766.6889999999999</v>
      </c>
      <c r="U31" s="278">
        <f t="shared" si="21"/>
        <v>2767.3890000000001</v>
      </c>
      <c r="V31" s="278">
        <f t="shared" si="21"/>
        <v>2491.1260000000002</v>
      </c>
      <c r="W31" s="278">
        <f t="shared" si="21"/>
        <v>2491.1260000000002</v>
      </c>
      <c r="X31" s="278">
        <f t="shared" si="21"/>
        <v>2491.1260000000002</v>
      </c>
      <c r="Y31" s="278">
        <f t="shared" si="21"/>
        <v>2409.1350000000002</v>
      </c>
      <c r="Z31" s="279">
        <f t="shared" si="21"/>
        <v>2411.248</v>
      </c>
    </row>
    <row r="32" spans="1:26" s="82" customFormat="1" ht="9.9" customHeight="1" x14ac:dyDescent="0.2">
      <c r="A32" s="280"/>
      <c r="B32" s="100" t="s">
        <v>141</v>
      </c>
      <c r="C32" s="281">
        <v>3174.1550000000002</v>
      </c>
      <c r="D32" s="281">
        <v>3197.7649999999999</v>
      </c>
      <c r="E32" s="281">
        <v>3203.23</v>
      </c>
      <c r="F32" s="281">
        <v>3205.63</v>
      </c>
      <c r="G32" s="281">
        <v>3215.105</v>
      </c>
      <c r="H32" s="281">
        <v>3222.8150000000001</v>
      </c>
      <c r="I32" s="281">
        <v>3226.2150000000001</v>
      </c>
      <c r="J32" s="281">
        <v>3226.5650000000001</v>
      </c>
      <c r="K32" s="281">
        <v>3240.0250000000001</v>
      </c>
      <c r="L32" s="281">
        <v>3264.6219999999998</v>
      </c>
      <c r="M32" s="281">
        <v>3267.9119999999998</v>
      </c>
      <c r="N32" s="282">
        <v>2753.319</v>
      </c>
      <c r="O32" s="283">
        <v>2755.5189999999998</v>
      </c>
      <c r="P32" s="283">
        <v>2755.5189999999998</v>
      </c>
      <c r="Q32" s="283">
        <v>2755.6190000000001</v>
      </c>
      <c r="R32" s="283">
        <v>2755.6190000000001</v>
      </c>
      <c r="S32" s="283">
        <v>2762.739</v>
      </c>
      <c r="T32" s="283">
        <v>2766.6889999999999</v>
      </c>
      <c r="U32" s="283">
        <v>2767.3890000000001</v>
      </c>
      <c r="V32" s="283">
        <v>2491.1260000000002</v>
      </c>
      <c r="W32" s="283">
        <v>2491.1260000000002</v>
      </c>
      <c r="X32" s="283">
        <v>2491.1260000000002</v>
      </c>
      <c r="Y32" s="283">
        <v>2409.1350000000002</v>
      </c>
      <c r="Z32" s="284">
        <v>2411.248</v>
      </c>
    </row>
    <row r="33" spans="1:26" s="82" customFormat="1" ht="9.9" customHeight="1" x14ac:dyDescent="0.2">
      <c r="A33" s="280"/>
      <c r="B33" s="100" t="s">
        <v>136</v>
      </c>
      <c r="C33" s="281">
        <v>0</v>
      </c>
      <c r="D33" s="281">
        <v>0</v>
      </c>
      <c r="E33" s="281">
        <v>0</v>
      </c>
      <c r="F33" s="281">
        <v>0</v>
      </c>
      <c r="G33" s="281">
        <v>0</v>
      </c>
      <c r="H33" s="281">
        <v>0</v>
      </c>
      <c r="I33" s="281">
        <v>0</v>
      </c>
      <c r="J33" s="281">
        <v>0</v>
      </c>
      <c r="K33" s="281">
        <v>0</v>
      </c>
      <c r="L33" s="281">
        <v>0</v>
      </c>
      <c r="M33" s="281">
        <v>0</v>
      </c>
      <c r="N33" s="282">
        <v>0</v>
      </c>
      <c r="O33" s="283">
        <v>0</v>
      </c>
      <c r="P33" s="283">
        <v>0</v>
      </c>
      <c r="Q33" s="283">
        <v>0</v>
      </c>
      <c r="R33" s="283">
        <v>0</v>
      </c>
      <c r="S33" s="283">
        <v>0</v>
      </c>
      <c r="T33" s="283">
        <v>0</v>
      </c>
      <c r="U33" s="283">
        <v>0</v>
      </c>
      <c r="V33" s="283">
        <v>0</v>
      </c>
      <c r="W33" s="283">
        <v>0</v>
      </c>
      <c r="X33" s="283">
        <v>0</v>
      </c>
      <c r="Y33" s="283">
        <v>0</v>
      </c>
      <c r="Z33" s="284">
        <v>0</v>
      </c>
    </row>
    <row r="34" spans="1:26" s="82" customFormat="1" ht="9.9" customHeight="1" x14ac:dyDescent="0.25">
      <c r="A34" s="280"/>
      <c r="B34" s="275" t="s">
        <v>137</v>
      </c>
      <c r="C34" s="291">
        <f t="shared" ref="C34:N34" si="22">SUM(C35:C37)</f>
        <v>1456.1190000000001</v>
      </c>
      <c r="D34" s="291">
        <f t="shared" si="22"/>
        <v>1432.5090000000005</v>
      </c>
      <c r="E34" s="291">
        <f t="shared" si="22"/>
        <v>1427.0440000000003</v>
      </c>
      <c r="F34" s="291">
        <f>SUM(F35:F37)</f>
        <v>1424.6440000000002</v>
      </c>
      <c r="G34" s="291">
        <f t="shared" si="22"/>
        <v>1415.1690000000003</v>
      </c>
      <c r="H34" s="291">
        <f t="shared" si="22"/>
        <v>1407.4590000000003</v>
      </c>
      <c r="I34" s="291">
        <f>SUM(I35:I37)</f>
        <v>1404.0590000000002</v>
      </c>
      <c r="J34" s="291">
        <f>SUM(J35:J37)</f>
        <v>1403.7090000000003</v>
      </c>
      <c r="K34" s="291">
        <f t="shared" si="22"/>
        <v>1390.2490000000003</v>
      </c>
      <c r="L34" s="291">
        <f>SUM(L35:L37)</f>
        <v>1492.2180000000003</v>
      </c>
      <c r="M34" s="291">
        <f t="shared" si="22"/>
        <v>1488.9280000000003</v>
      </c>
      <c r="N34" s="292">
        <f t="shared" si="22"/>
        <v>1385.7779999999998</v>
      </c>
      <c r="O34" s="293">
        <f>SUM(O35:O37)</f>
        <v>1383.578</v>
      </c>
      <c r="P34" s="293">
        <f t="shared" ref="P34:Z34" si="23">SUM(P35:P37)</f>
        <v>1383.578</v>
      </c>
      <c r="Q34" s="293">
        <f t="shared" si="23"/>
        <v>1383.4779999999998</v>
      </c>
      <c r="R34" s="293">
        <f t="shared" si="23"/>
        <v>1383.4780000000001</v>
      </c>
      <c r="S34" s="293">
        <f t="shared" si="23"/>
        <v>1376.3579999999999</v>
      </c>
      <c r="T34" s="293">
        <f t="shared" si="23"/>
        <v>1372.3879999999999</v>
      </c>
      <c r="U34" s="293">
        <f t="shared" si="23"/>
        <v>1371.7079999999996</v>
      </c>
      <c r="V34" s="293">
        <f t="shared" si="23"/>
        <v>1047.9509999999993</v>
      </c>
      <c r="W34" s="293">
        <f t="shared" si="23"/>
        <v>1047.971</v>
      </c>
      <c r="X34" s="293">
        <f t="shared" si="23"/>
        <v>1047.971</v>
      </c>
      <c r="Y34" s="293">
        <f t="shared" si="23"/>
        <v>790.71199999999999</v>
      </c>
      <c r="Z34" s="294">
        <f t="shared" si="23"/>
        <v>831.45399999999995</v>
      </c>
    </row>
    <row r="35" spans="1:26" s="82" customFormat="1" ht="9.9" customHeight="1" x14ac:dyDescent="0.2">
      <c r="A35" s="280"/>
      <c r="B35" s="100" t="s">
        <v>138</v>
      </c>
      <c r="C35" s="295">
        <v>0</v>
      </c>
      <c r="D35" s="295">
        <v>0</v>
      </c>
      <c r="E35" s="295">
        <v>0</v>
      </c>
      <c r="F35" s="295">
        <v>0</v>
      </c>
      <c r="G35" s="295">
        <v>0</v>
      </c>
      <c r="H35" s="295">
        <v>0</v>
      </c>
      <c r="I35" s="295">
        <v>0</v>
      </c>
      <c r="J35" s="295">
        <v>0</v>
      </c>
      <c r="K35" s="295">
        <v>0</v>
      </c>
      <c r="L35" s="295">
        <v>0</v>
      </c>
      <c r="M35" s="295">
        <v>0</v>
      </c>
      <c r="N35" s="296">
        <v>0</v>
      </c>
      <c r="O35" s="297">
        <v>0</v>
      </c>
      <c r="P35" s="297">
        <v>0</v>
      </c>
      <c r="Q35" s="297">
        <v>0</v>
      </c>
      <c r="R35" s="297">
        <v>0</v>
      </c>
      <c r="S35" s="297">
        <v>0</v>
      </c>
      <c r="T35" s="297">
        <v>0</v>
      </c>
      <c r="U35" s="297">
        <v>0</v>
      </c>
      <c r="V35" s="297">
        <v>0</v>
      </c>
      <c r="W35" s="297">
        <v>0</v>
      </c>
      <c r="X35" s="297">
        <v>0</v>
      </c>
      <c r="Y35" s="297">
        <v>0</v>
      </c>
      <c r="Z35" s="298">
        <v>0</v>
      </c>
    </row>
    <row r="36" spans="1:26" s="82" customFormat="1" ht="9.9" customHeight="1" x14ac:dyDescent="0.2">
      <c r="A36" s="280"/>
      <c r="B36" s="100" t="s">
        <v>139</v>
      </c>
      <c r="C36" s="295">
        <v>0</v>
      </c>
      <c r="D36" s="295">
        <v>0</v>
      </c>
      <c r="E36" s="295">
        <v>0</v>
      </c>
      <c r="F36" s="295">
        <v>0</v>
      </c>
      <c r="G36" s="295">
        <v>0</v>
      </c>
      <c r="H36" s="295">
        <v>0</v>
      </c>
      <c r="I36" s="295">
        <v>0</v>
      </c>
      <c r="J36" s="295">
        <v>0</v>
      </c>
      <c r="K36" s="295">
        <v>0</v>
      </c>
      <c r="L36" s="295">
        <v>0</v>
      </c>
      <c r="M36" s="295">
        <v>0</v>
      </c>
      <c r="N36" s="296">
        <v>0</v>
      </c>
      <c r="O36" s="297">
        <v>0</v>
      </c>
      <c r="P36" s="297">
        <v>0</v>
      </c>
      <c r="Q36" s="297">
        <v>0</v>
      </c>
      <c r="R36" s="297">
        <v>0</v>
      </c>
      <c r="S36" s="297">
        <v>64.903000000000006</v>
      </c>
      <c r="T36" s="297">
        <v>56.003</v>
      </c>
      <c r="U36" s="297">
        <v>49.981000000000002</v>
      </c>
      <c r="V36" s="297">
        <v>22.608000000000001</v>
      </c>
      <c r="W36" s="297">
        <v>22.608000000000001</v>
      </c>
      <c r="X36" s="297">
        <v>19.648</v>
      </c>
      <c r="Y36" s="297">
        <v>14.477</v>
      </c>
      <c r="Z36" s="298">
        <v>13.164</v>
      </c>
    </row>
    <row r="37" spans="1:26" s="82" customFormat="1" ht="9.9" customHeight="1" x14ac:dyDescent="0.2">
      <c r="A37" s="280"/>
      <c r="B37" s="100" t="s">
        <v>140</v>
      </c>
      <c r="C37" s="295">
        <f>4622.894-C32+7.38</f>
        <v>1456.1190000000001</v>
      </c>
      <c r="D37" s="295">
        <f>4622.894-D32+7.38</f>
        <v>1432.5090000000005</v>
      </c>
      <c r="E37" s="295">
        <f>4622.894-E32+7.38</f>
        <v>1427.0440000000003</v>
      </c>
      <c r="F37" s="295">
        <f>4622.894-F32+7.38</f>
        <v>1424.6440000000002</v>
      </c>
      <c r="G37" s="295">
        <f>4622.894-3215.105+7.38</f>
        <v>1415.1690000000003</v>
      </c>
      <c r="H37" s="295">
        <f>4622.894-H32+7.38</f>
        <v>1407.4590000000003</v>
      </c>
      <c r="I37" s="295">
        <f>4622.894-I32+7.38</f>
        <v>1404.0590000000002</v>
      </c>
      <c r="J37" s="295">
        <f>4622.894-J32+7.38</f>
        <v>1403.7090000000003</v>
      </c>
      <c r="K37" s="295">
        <f>4622.894-K32+7.38</f>
        <v>1390.2490000000003</v>
      </c>
      <c r="L37" s="295">
        <f>4749.46-L32+7.38</f>
        <v>1492.2180000000003</v>
      </c>
      <c r="M37" s="295">
        <f>4749.46-M32+7.38</f>
        <v>1488.9280000000003</v>
      </c>
      <c r="N37" s="296">
        <f>4123.057-N32+16.04</f>
        <v>1385.7779999999998</v>
      </c>
      <c r="O37" s="297">
        <f>4123.057-O32+16.04</f>
        <v>1383.578</v>
      </c>
      <c r="P37" s="297">
        <f>4123.057-P32+16.04</f>
        <v>1383.578</v>
      </c>
      <c r="Q37" s="297">
        <f>1301.905+65.533+Q38</f>
        <v>1383.4779999999998</v>
      </c>
      <c r="R37" s="297">
        <f>1300.105+67.333+R38</f>
        <v>1383.4780000000001</v>
      </c>
      <c r="S37" s="297">
        <f>1295.415+16.04</f>
        <v>1311.4549999999999</v>
      </c>
      <c r="T37" s="297">
        <f>1300.365+16.02</f>
        <v>1316.385</v>
      </c>
      <c r="U37" s="297">
        <f>4123.057-U32-U36+U38</f>
        <v>1321.7269999999996</v>
      </c>
      <c r="V37" s="297">
        <f>3523.057-V36-V32+V38</f>
        <v>1025.3429999999994</v>
      </c>
      <c r="W37" s="297">
        <f>1009.323+16.04</f>
        <v>1025.3630000000001</v>
      </c>
      <c r="X37" s="297">
        <f>1012.283+X38</f>
        <v>1028.3230000000001</v>
      </c>
      <c r="Y37" s="297">
        <f>760.195+Y38</f>
        <v>776.23500000000001</v>
      </c>
      <c r="Z37" s="298">
        <f>759.395+Z38</f>
        <v>818.29</v>
      </c>
    </row>
    <row r="38" spans="1:26" s="82" customFormat="1" ht="9.9" customHeight="1" x14ac:dyDescent="0.2">
      <c r="A38" s="280"/>
      <c r="B38" s="100" t="s">
        <v>142</v>
      </c>
      <c r="C38" s="295">
        <v>7.38</v>
      </c>
      <c r="D38" s="299">
        <v>7.38</v>
      </c>
      <c r="E38" s="299">
        <v>7.38</v>
      </c>
      <c r="F38" s="299">
        <v>7.38</v>
      </c>
      <c r="G38" s="299">
        <v>7.38</v>
      </c>
      <c r="H38" s="299">
        <v>7.38</v>
      </c>
      <c r="I38" s="299">
        <v>7.38</v>
      </c>
      <c r="J38" s="299">
        <v>7.38</v>
      </c>
      <c r="K38" s="299">
        <v>7.38</v>
      </c>
      <c r="L38" s="299">
        <v>7.38</v>
      </c>
      <c r="M38" s="299">
        <v>7.38</v>
      </c>
      <c r="N38" s="300">
        <v>16.04</v>
      </c>
      <c r="O38" s="297">
        <v>16.04</v>
      </c>
      <c r="P38" s="297">
        <v>16.04</v>
      </c>
      <c r="Q38" s="297">
        <v>16.04</v>
      </c>
      <c r="R38" s="297">
        <v>16.04</v>
      </c>
      <c r="S38" s="297">
        <v>16.04</v>
      </c>
      <c r="T38" s="297">
        <v>16.02</v>
      </c>
      <c r="U38" s="297">
        <v>16.04</v>
      </c>
      <c r="V38" s="297">
        <v>16.02</v>
      </c>
      <c r="W38" s="297">
        <v>16.04</v>
      </c>
      <c r="X38" s="297">
        <v>16.04</v>
      </c>
      <c r="Y38" s="297">
        <v>16.04</v>
      </c>
      <c r="Z38" s="298">
        <v>58.895000000000003</v>
      </c>
    </row>
    <row r="39" spans="1:26" s="71" customFormat="1" ht="9.9" customHeight="1" x14ac:dyDescent="0.2">
      <c r="A39" s="269">
        <v>5</v>
      </c>
      <c r="B39" s="270" t="s">
        <v>115</v>
      </c>
      <c r="C39" s="271">
        <f t="shared" ref="C39:N39" si="24">SUM(C40:C42)</f>
        <v>157.6</v>
      </c>
      <c r="D39" s="301">
        <f t="shared" si="24"/>
        <v>157.6</v>
      </c>
      <c r="E39" s="301">
        <f t="shared" si="24"/>
        <v>157.6</v>
      </c>
      <c r="F39" s="301">
        <f t="shared" si="24"/>
        <v>157.6</v>
      </c>
      <c r="G39" s="301">
        <f t="shared" si="24"/>
        <v>157.6</v>
      </c>
      <c r="H39" s="301">
        <f t="shared" si="24"/>
        <v>157.6</v>
      </c>
      <c r="I39" s="301">
        <f>SUM(I40:I42)</f>
        <v>157.6</v>
      </c>
      <c r="J39" s="301">
        <f>SUM(J40:J42)</f>
        <v>157.6</v>
      </c>
      <c r="K39" s="301">
        <f t="shared" si="24"/>
        <v>157.6</v>
      </c>
      <c r="L39" s="301">
        <f>SUM(L40:L42)</f>
        <v>157.6</v>
      </c>
      <c r="M39" s="301">
        <f t="shared" si="24"/>
        <v>157.6</v>
      </c>
      <c r="N39" s="302">
        <f t="shared" si="24"/>
        <v>157.6</v>
      </c>
      <c r="O39" s="285">
        <f>SUM(O40:O42)</f>
        <v>157.6</v>
      </c>
      <c r="P39" s="285">
        <f t="shared" ref="P39:Z39" si="25">SUM(P40:P42)</f>
        <v>157.6</v>
      </c>
      <c r="Q39" s="285">
        <f t="shared" si="25"/>
        <v>157.6</v>
      </c>
      <c r="R39" s="285">
        <f t="shared" si="25"/>
        <v>157.6</v>
      </c>
      <c r="S39" s="285">
        <f t="shared" si="25"/>
        <v>0</v>
      </c>
      <c r="T39" s="285">
        <f t="shared" si="25"/>
        <v>0</v>
      </c>
      <c r="U39" s="285">
        <f t="shared" si="25"/>
        <v>0</v>
      </c>
      <c r="V39" s="285">
        <f t="shared" si="25"/>
        <v>0</v>
      </c>
      <c r="W39" s="285">
        <f t="shared" si="25"/>
        <v>0</v>
      </c>
      <c r="X39" s="285">
        <f t="shared" si="25"/>
        <v>0</v>
      </c>
      <c r="Y39" s="285">
        <f t="shared" si="25"/>
        <v>0</v>
      </c>
      <c r="Z39" s="286">
        <f t="shared" si="25"/>
        <v>0</v>
      </c>
    </row>
    <row r="40" spans="1:26" s="82" customFormat="1" ht="9.9" customHeight="1" x14ac:dyDescent="0.2">
      <c r="A40" s="280"/>
      <c r="B40" s="100" t="s">
        <v>143</v>
      </c>
      <c r="C40" s="281">
        <v>0</v>
      </c>
      <c r="D40" s="281">
        <v>0</v>
      </c>
      <c r="E40" s="281">
        <v>0</v>
      </c>
      <c r="F40" s="281">
        <v>0</v>
      </c>
      <c r="G40" s="281">
        <v>0</v>
      </c>
      <c r="H40" s="281">
        <v>0</v>
      </c>
      <c r="I40" s="281">
        <v>0</v>
      </c>
      <c r="J40" s="281">
        <v>0</v>
      </c>
      <c r="K40" s="281">
        <v>0</v>
      </c>
      <c r="L40" s="281">
        <v>0</v>
      </c>
      <c r="M40" s="281">
        <v>0</v>
      </c>
      <c r="N40" s="282">
        <v>0</v>
      </c>
      <c r="O40" s="283">
        <v>0</v>
      </c>
      <c r="P40" s="283">
        <v>0</v>
      </c>
      <c r="Q40" s="283">
        <v>0</v>
      </c>
      <c r="R40" s="283">
        <v>0</v>
      </c>
      <c r="S40" s="283">
        <v>0</v>
      </c>
      <c r="T40" s="283">
        <v>0</v>
      </c>
      <c r="U40" s="283">
        <v>0</v>
      </c>
      <c r="V40" s="283">
        <v>0</v>
      </c>
      <c r="W40" s="283">
        <v>0</v>
      </c>
      <c r="X40" s="283">
        <v>0</v>
      </c>
      <c r="Y40" s="283">
        <v>0</v>
      </c>
      <c r="Z40" s="284">
        <v>0</v>
      </c>
    </row>
    <row r="41" spans="1:26" s="82" customFormat="1" ht="9.9" customHeight="1" x14ac:dyDescent="0.2">
      <c r="A41" s="280"/>
      <c r="B41" s="100" t="s">
        <v>144</v>
      </c>
      <c r="C41" s="281">
        <v>157.6</v>
      </c>
      <c r="D41" s="281">
        <v>157.6</v>
      </c>
      <c r="E41" s="281">
        <v>157.6</v>
      </c>
      <c r="F41" s="281">
        <v>157.6</v>
      </c>
      <c r="G41" s="281">
        <v>157.6</v>
      </c>
      <c r="H41" s="281">
        <v>157.6</v>
      </c>
      <c r="I41" s="281">
        <v>157.6</v>
      </c>
      <c r="J41" s="281">
        <v>157.6</v>
      </c>
      <c r="K41" s="281">
        <v>157.6</v>
      </c>
      <c r="L41" s="281">
        <v>157.6</v>
      </c>
      <c r="M41" s="281">
        <v>157.6</v>
      </c>
      <c r="N41" s="282">
        <v>157.6</v>
      </c>
      <c r="O41" s="283">
        <v>157.6</v>
      </c>
      <c r="P41" s="283">
        <v>157.6</v>
      </c>
      <c r="Q41" s="283">
        <v>157.6</v>
      </c>
      <c r="R41" s="283">
        <v>157.6</v>
      </c>
      <c r="S41" s="283">
        <v>0</v>
      </c>
      <c r="T41" s="283">
        <v>0</v>
      </c>
      <c r="U41" s="283">
        <v>0</v>
      </c>
      <c r="V41" s="283">
        <v>0</v>
      </c>
      <c r="W41" s="283">
        <v>0</v>
      </c>
      <c r="X41" s="283">
        <v>0</v>
      </c>
      <c r="Y41" s="283">
        <v>0</v>
      </c>
      <c r="Z41" s="284">
        <v>0</v>
      </c>
    </row>
    <row r="42" spans="1:26" s="82" customFormat="1" ht="9.9" customHeight="1" x14ac:dyDescent="0.2">
      <c r="A42" s="280"/>
      <c r="B42" s="100" t="s">
        <v>145</v>
      </c>
      <c r="C42" s="281">
        <v>0</v>
      </c>
      <c r="D42" s="281">
        <v>0</v>
      </c>
      <c r="E42" s="281">
        <v>0</v>
      </c>
      <c r="F42" s="281">
        <v>0</v>
      </c>
      <c r="G42" s="281">
        <v>0</v>
      </c>
      <c r="H42" s="281">
        <v>0</v>
      </c>
      <c r="I42" s="281">
        <v>0</v>
      </c>
      <c r="J42" s="281">
        <v>0</v>
      </c>
      <c r="K42" s="281">
        <v>0</v>
      </c>
      <c r="L42" s="281">
        <v>0</v>
      </c>
      <c r="M42" s="281">
        <v>0</v>
      </c>
      <c r="N42" s="282">
        <v>0</v>
      </c>
      <c r="O42" s="283">
        <v>0</v>
      </c>
      <c r="P42" s="283">
        <v>0</v>
      </c>
      <c r="Q42" s="283">
        <v>0</v>
      </c>
      <c r="R42" s="283">
        <v>0</v>
      </c>
      <c r="S42" s="283">
        <v>0</v>
      </c>
      <c r="T42" s="283">
        <v>0</v>
      </c>
      <c r="U42" s="283">
        <v>0</v>
      </c>
      <c r="V42" s="283">
        <v>0</v>
      </c>
      <c r="W42" s="283">
        <v>0</v>
      </c>
      <c r="X42" s="283">
        <v>0</v>
      </c>
      <c r="Y42" s="283">
        <v>0</v>
      </c>
      <c r="Z42" s="284">
        <v>0</v>
      </c>
    </row>
    <row r="43" spans="1:26" s="71" customFormat="1" ht="9.9" customHeight="1" x14ac:dyDescent="0.2">
      <c r="A43" s="269">
        <v>6</v>
      </c>
      <c r="B43" s="270" t="s">
        <v>146</v>
      </c>
      <c r="C43" s="271">
        <v>9385.6</v>
      </c>
      <c r="D43" s="271">
        <v>9167.7999999999993</v>
      </c>
      <c r="E43" s="271">
        <v>16975.2</v>
      </c>
      <c r="F43" s="271">
        <v>12338.6</v>
      </c>
      <c r="G43" s="271">
        <v>7281.1</v>
      </c>
      <c r="H43" s="271">
        <v>-14367.9</v>
      </c>
      <c r="I43" s="271">
        <v>-9909.1</v>
      </c>
      <c r="J43" s="271">
        <v>-11421.4</v>
      </c>
      <c r="K43" s="271">
        <v>-27172.400000000001</v>
      </c>
      <c r="L43" s="271">
        <v>-31490.3</v>
      </c>
      <c r="M43" s="271">
        <v>-29678</v>
      </c>
      <c r="N43" s="272">
        <v>-2360.1</v>
      </c>
      <c r="O43" s="285">
        <v>-20522.5</v>
      </c>
      <c r="P43" s="285">
        <v>-25017.4</v>
      </c>
      <c r="Q43" s="285">
        <v>-22686.799999999999</v>
      </c>
      <c r="R43" s="285">
        <v>-17449.7</v>
      </c>
      <c r="S43" s="285">
        <v>-26722.7</v>
      </c>
      <c r="T43" s="285">
        <v>-44654.400000000001</v>
      </c>
      <c r="U43" s="285">
        <v>-44317.1</v>
      </c>
      <c r="V43" s="285">
        <v>-41560.9</v>
      </c>
      <c r="W43" s="285">
        <v>-56950.1</v>
      </c>
      <c r="X43" s="285">
        <v>-57073.1</v>
      </c>
      <c r="Y43" s="285">
        <v>-44852.4</v>
      </c>
      <c r="Z43" s="286">
        <v>-184.5</v>
      </c>
    </row>
    <row r="44" spans="1:26" s="82" customFormat="1" ht="9.9" customHeight="1" x14ac:dyDescent="0.2">
      <c r="A44" s="280"/>
      <c r="B44" s="100" t="s">
        <v>135</v>
      </c>
      <c r="C44" s="281">
        <v>9385.6</v>
      </c>
      <c r="D44" s="281">
        <v>9167.7999999999993</v>
      </c>
      <c r="E44" s="281">
        <v>16975.2</v>
      </c>
      <c r="F44" s="281">
        <v>12338.6</v>
      </c>
      <c r="G44" s="281">
        <v>7281.1</v>
      </c>
      <c r="H44" s="281">
        <v>-14367.9</v>
      </c>
      <c r="I44" s="281">
        <v>-9909.1</v>
      </c>
      <c r="J44" s="281">
        <v>-11421.4</v>
      </c>
      <c r="K44" s="281">
        <v>-27172.400000000001</v>
      </c>
      <c r="L44" s="281">
        <v>-31490.3</v>
      </c>
      <c r="M44" s="281">
        <v>-29678</v>
      </c>
      <c r="N44" s="282">
        <v>-2360.1</v>
      </c>
      <c r="O44" s="303">
        <v>-20522.5</v>
      </c>
      <c r="P44" s="303">
        <v>-25017.4</v>
      </c>
      <c r="Q44" s="303">
        <v>-22686.799999999999</v>
      </c>
      <c r="R44" s="303">
        <v>-17449.7</v>
      </c>
      <c r="S44" s="303">
        <v>-26722.7</v>
      </c>
      <c r="T44" s="303">
        <v>-44654.400000000001</v>
      </c>
      <c r="U44" s="303">
        <v>-44317.1</v>
      </c>
      <c r="V44" s="303">
        <v>-41560.9</v>
      </c>
      <c r="W44" s="303">
        <v>-56950.1</v>
      </c>
      <c r="X44" s="303">
        <v>-57073.1</v>
      </c>
      <c r="Y44" s="303">
        <v>-44852.4</v>
      </c>
      <c r="Z44" s="304">
        <v>-184.5</v>
      </c>
    </row>
    <row r="45" spans="1:26" s="71" customFormat="1" ht="9.9" customHeight="1" x14ac:dyDescent="0.2">
      <c r="A45" s="269"/>
      <c r="B45" s="270" t="s">
        <v>147</v>
      </c>
      <c r="C45" s="271">
        <v>188713.557</v>
      </c>
      <c r="D45" s="271">
        <v>188495.75699999998</v>
      </c>
      <c r="E45" s="271">
        <v>196303.15700000001</v>
      </c>
      <c r="F45" s="271">
        <v>191666.557</v>
      </c>
      <c r="G45" s="271">
        <v>190109.057</v>
      </c>
      <c r="H45" s="271">
        <v>171960.057</v>
      </c>
      <c r="I45" s="271">
        <v>176418.85700000002</v>
      </c>
      <c r="J45" s="271">
        <v>177906.55700000003</v>
      </c>
      <c r="K45" s="271">
        <v>170155.55700000003</v>
      </c>
      <c r="L45" s="271">
        <v>169964.223</v>
      </c>
      <c r="M45" s="271">
        <v>176559.94699999999</v>
      </c>
      <c r="N45" s="272">
        <v>206760.10399999999</v>
      </c>
      <c r="O45" s="285">
        <v>188597.704</v>
      </c>
      <c r="P45" s="285">
        <v>184102.80400000003</v>
      </c>
      <c r="Q45" s="285">
        <v>186433.40400000004</v>
      </c>
      <c r="R45" s="285">
        <v>191670.50399999999</v>
      </c>
      <c r="S45" s="285">
        <v>182239.90400000001</v>
      </c>
      <c r="T45" s="285">
        <v>164308.18400000001</v>
      </c>
      <c r="U45" s="285">
        <v>163145.50400000002</v>
      </c>
      <c r="V45" s="285">
        <v>165301.68400000001</v>
      </c>
      <c r="W45" s="285">
        <v>149912.50400000002</v>
      </c>
      <c r="X45" s="285">
        <v>149789.50400000002</v>
      </c>
      <c r="Y45" s="285">
        <v>153510.65400000001</v>
      </c>
      <c r="Z45" s="286">
        <v>206817.209</v>
      </c>
    </row>
    <row r="46" spans="1:26" s="71" customFormat="1" ht="9.9" customHeight="1" x14ac:dyDescent="0.25">
      <c r="A46" s="269"/>
      <c r="B46" s="275" t="s">
        <v>134</v>
      </c>
      <c r="C46" s="276">
        <v>147288.473</v>
      </c>
      <c r="D46" s="276">
        <v>148289.783</v>
      </c>
      <c r="E46" s="276">
        <v>156346.848</v>
      </c>
      <c r="F46" s="276">
        <v>151968.348</v>
      </c>
      <c r="G46" s="276">
        <v>149964.823</v>
      </c>
      <c r="H46" s="276">
        <v>129995.008</v>
      </c>
      <c r="I46" s="276">
        <v>134596.20800000001</v>
      </c>
      <c r="J46" s="276">
        <v>136461.65800000002</v>
      </c>
      <c r="K46" s="276">
        <v>124915.91800000002</v>
      </c>
      <c r="L46" s="276">
        <v>124516.61500000001</v>
      </c>
      <c r="M46" s="276">
        <v>128612.179</v>
      </c>
      <c r="N46" s="277">
        <v>154850.486</v>
      </c>
      <c r="O46" s="278">
        <v>136830.78599999999</v>
      </c>
      <c r="P46" s="278">
        <v>133191.16100000002</v>
      </c>
      <c r="Q46" s="278">
        <v>135822.16100000002</v>
      </c>
      <c r="R46" s="278">
        <v>141057.56099999999</v>
      </c>
      <c r="S46" s="278">
        <v>131505.18100000001</v>
      </c>
      <c r="T46" s="278">
        <v>114188.306</v>
      </c>
      <c r="U46" s="278">
        <v>113910.45599999999</v>
      </c>
      <c r="V46" s="278">
        <v>115988.393</v>
      </c>
      <c r="W46" s="278">
        <v>100633.61800000002</v>
      </c>
      <c r="X46" s="278">
        <v>100664.21800000002</v>
      </c>
      <c r="Y46" s="278">
        <v>105524.62700000001</v>
      </c>
      <c r="Z46" s="279">
        <v>162762.36499999999</v>
      </c>
    </row>
    <row r="47" spans="1:26" s="82" customFormat="1" ht="9.9" customHeight="1" x14ac:dyDescent="0.2">
      <c r="A47" s="280"/>
      <c r="B47" s="100" t="s">
        <v>135</v>
      </c>
      <c r="C47" s="281">
        <v>40402.698000000004</v>
      </c>
      <c r="D47" s="281">
        <v>40273.508000000002</v>
      </c>
      <c r="E47" s="281">
        <v>48068.273000000001</v>
      </c>
      <c r="F47" s="281">
        <v>43434.073000000004</v>
      </c>
      <c r="G47" s="281">
        <v>32986.748</v>
      </c>
      <c r="H47" s="281">
        <v>8326.4580000000005</v>
      </c>
      <c r="I47" s="281">
        <v>12788.658000000001</v>
      </c>
      <c r="J47" s="281">
        <v>12446.708000000001</v>
      </c>
      <c r="K47" s="281">
        <v>-3310.8319999999985</v>
      </c>
      <c r="L47" s="281">
        <v>-7603.6349999999984</v>
      </c>
      <c r="M47" s="281">
        <v>-9620.1959999999999</v>
      </c>
      <c r="N47" s="282">
        <v>25863.111000000001</v>
      </c>
      <c r="O47" s="283">
        <v>7704.4110000000001</v>
      </c>
      <c r="P47" s="283">
        <v>2710.5109999999986</v>
      </c>
      <c r="Q47" s="283">
        <v>1878.2109999999993</v>
      </c>
      <c r="R47" s="283">
        <v>7115.3109999999979</v>
      </c>
      <c r="S47" s="283">
        <v>-4234.0689999999995</v>
      </c>
      <c r="T47" s="283">
        <v>-23763.319000000003</v>
      </c>
      <c r="U47" s="283">
        <v>-23425.319</v>
      </c>
      <c r="V47" s="283">
        <v>-20946.382000000001</v>
      </c>
      <c r="W47" s="283">
        <v>-37594.581999999995</v>
      </c>
      <c r="X47" s="283">
        <v>-37717.581999999995</v>
      </c>
      <c r="Y47" s="283">
        <v>-26759.373</v>
      </c>
      <c r="Z47" s="284">
        <v>15532.215</v>
      </c>
    </row>
    <row r="48" spans="1:26" s="82" customFormat="1" ht="9.9" customHeight="1" x14ac:dyDescent="0.2">
      <c r="A48" s="280"/>
      <c r="B48" s="100" t="s">
        <v>136</v>
      </c>
      <c r="C48" s="281">
        <v>106885.77500000001</v>
      </c>
      <c r="D48" s="281">
        <v>108016.27500000001</v>
      </c>
      <c r="E48" s="281">
        <v>108278.57500000001</v>
      </c>
      <c r="F48" s="281">
        <v>108534.27500000001</v>
      </c>
      <c r="G48" s="281">
        <v>116978.07500000001</v>
      </c>
      <c r="H48" s="281">
        <v>121668.55</v>
      </c>
      <c r="I48" s="281">
        <v>121807.55</v>
      </c>
      <c r="J48" s="281">
        <v>124014.95</v>
      </c>
      <c r="K48" s="281">
        <v>128226.75</v>
      </c>
      <c r="L48" s="281">
        <v>132120.25</v>
      </c>
      <c r="M48" s="281">
        <v>138232.375</v>
      </c>
      <c r="N48" s="282">
        <v>128987.375</v>
      </c>
      <c r="O48" s="283">
        <v>129126.375</v>
      </c>
      <c r="P48" s="283">
        <v>130480.65</v>
      </c>
      <c r="Q48" s="283">
        <v>133943.95000000001</v>
      </c>
      <c r="R48" s="283">
        <v>133942.25</v>
      </c>
      <c r="S48" s="283">
        <v>135739.25</v>
      </c>
      <c r="T48" s="283">
        <v>137951.625</v>
      </c>
      <c r="U48" s="283">
        <v>137335.77499999999</v>
      </c>
      <c r="V48" s="283">
        <v>136934.77499999999</v>
      </c>
      <c r="W48" s="283">
        <v>138228.20000000001</v>
      </c>
      <c r="X48" s="283">
        <v>138381.79999999999</v>
      </c>
      <c r="Y48" s="283">
        <v>132284</v>
      </c>
      <c r="Z48" s="284">
        <v>147230.15</v>
      </c>
    </row>
    <row r="49" spans="1:26" s="82" customFormat="1" ht="9.9" customHeight="1" x14ac:dyDescent="0.25">
      <c r="A49" s="280"/>
      <c r="B49" s="275" t="s">
        <v>137</v>
      </c>
      <c r="C49" s="287">
        <v>41425.083999999995</v>
      </c>
      <c r="D49" s="287">
        <v>40205.973999999995</v>
      </c>
      <c r="E49" s="287">
        <v>39956.309000000001</v>
      </c>
      <c r="F49" s="287">
        <v>39698.209000000003</v>
      </c>
      <c r="G49" s="287">
        <v>40144.234000000004</v>
      </c>
      <c r="H49" s="287">
        <v>41965.049000000006</v>
      </c>
      <c r="I49" s="287">
        <v>41822.649000000005</v>
      </c>
      <c r="J49" s="287">
        <v>41444.899000000005</v>
      </c>
      <c r="K49" s="287">
        <v>45239.639000000003</v>
      </c>
      <c r="L49" s="287">
        <v>45447.607999999993</v>
      </c>
      <c r="M49" s="287">
        <v>47947.767999999989</v>
      </c>
      <c r="N49" s="288">
        <v>51909.618000000002</v>
      </c>
      <c r="O49" s="289">
        <v>51766.918000000005</v>
      </c>
      <c r="P49" s="289">
        <v>50911.643000000004</v>
      </c>
      <c r="Q49" s="289">
        <v>50611.243000000002</v>
      </c>
      <c r="R49" s="289">
        <v>50612.942999999999</v>
      </c>
      <c r="S49" s="289">
        <v>50734.722999999998</v>
      </c>
      <c r="T49" s="289">
        <v>50119.877999999997</v>
      </c>
      <c r="U49" s="289">
        <v>49235.04800000001</v>
      </c>
      <c r="V49" s="289">
        <v>49313.290999999997</v>
      </c>
      <c r="W49" s="289">
        <v>49278.885999999991</v>
      </c>
      <c r="X49" s="289">
        <v>49125.285999999993</v>
      </c>
      <c r="Y49" s="289">
        <v>47986.026999999995</v>
      </c>
      <c r="Z49" s="290">
        <v>44054.844000000012</v>
      </c>
    </row>
    <row r="50" spans="1:26" s="82" customFormat="1" ht="9.9" customHeight="1" x14ac:dyDescent="0.2">
      <c r="A50" s="280"/>
      <c r="B50" s="100" t="s">
        <v>138</v>
      </c>
      <c r="C50" s="281">
        <v>2508.125</v>
      </c>
      <c r="D50" s="281">
        <v>2536.125</v>
      </c>
      <c r="E50" s="281">
        <v>2613.0250000000001</v>
      </c>
      <c r="F50" s="281">
        <v>2606.9250000000002</v>
      </c>
      <c r="G50" s="281">
        <v>3076.7250000000004</v>
      </c>
      <c r="H50" s="281">
        <v>3511.35</v>
      </c>
      <c r="I50" s="281">
        <v>3456.35</v>
      </c>
      <c r="J50" s="281">
        <v>3274.85</v>
      </c>
      <c r="K50" s="281">
        <v>3421.55</v>
      </c>
      <c r="L50" s="281">
        <v>3573.05</v>
      </c>
      <c r="M50" s="281">
        <v>4463.1499999999996</v>
      </c>
      <c r="N50" s="282">
        <v>4507.1499999999996</v>
      </c>
      <c r="O50" s="283">
        <v>4410.6499999999996</v>
      </c>
      <c r="P50" s="283">
        <v>3721.2749999999996</v>
      </c>
      <c r="Q50" s="283">
        <v>3513.1750000000002</v>
      </c>
      <c r="R50" s="283">
        <v>3513.1750000000002</v>
      </c>
      <c r="S50" s="283">
        <v>3640.6750000000002</v>
      </c>
      <c r="T50" s="283">
        <v>3121.1</v>
      </c>
      <c r="U50" s="283">
        <v>3034.6</v>
      </c>
      <c r="V50" s="283">
        <v>3340.1</v>
      </c>
      <c r="W50" s="283">
        <v>3316.6750000000002</v>
      </c>
      <c r="X50" s="283">
        <v>3256.6750000000002</v>
      </c>
      <c r="Y50" s="283">
        <v>2835.1750000000002</v>
      </c>
      <c r="Z50" s="284">
        <v>2909.5749999999998</v>
      </c>
    </row>
    <row r="51" spans="1:26" s="82" customFormat="1" ht="9.9" customHeight="1" x14ac:dyDescent="0.2">
      <c r="A51" s="280"/>
      <c r="B51" s="100" t="s">
        <v>139</v>
      </c>
      <c r="C51" s="281">
        <v>2321.1999999999998</v>
      </c>
      <c r="D51" s="281">
        <v>2259.6999999999998</v>
      </c>
      <c r="E51" s="281">
        <v>2092</v>
      </c>
      <c r="F51" s="281">
        <v>2210.4</v>
      </c>
      <c r="G51" s="281">
        <v>2276.8000000000002</v>
      </c>
      <c r="H51" s="281">
        <v>2461.6999999999998</v>
      </c>
      <c r="I51" s="281">
        <v>2377.6999999999998</v>
      </c>
      <c r="J51" s="281">
        <v>2196.8000000000002</v>
      </c>
      <c r="K51" s="281">
        <v>2317.3000000000002</v>
      </c>
      <c r="L51" s="281">
        <v>2272.3000000000002</v>
      </c>
      <c r="M51" s="281">
        <v>2948.45</v>
      </c>
      <c r="N51" s="282">
        <v>3536.95</v>
      </c>
      <c r="O51" s="283">
        <v>3494.45</v>
      </c>
      <c r="P51" s="283">
        <v>3328.55</v>
      </c>
      <c r="Q51" s="283">
        <v>3263.85</v>
      </c>
      <c r="R51" s="283">
        <v>3265.55</v>
      </c>
      <c r="S51" s="283">
        <v>3331.8529999999996</v>
      </c>
      <c r="T51" s="283">
        <v>3217.1630000000005</v>
      </c>
      <c r="U51" s="283">
        <v>3095.2910000000002</v>
      </c>
      <c r="V51" s="283">
        <v>3163.1180000000004</v>
      </c>
      <c r="W51" s="283">
        <v>3153.1180000000004</v>
      </c>
      <c r="X51" s="283">
        <v>3116.5580000000004</v>
      </c>
      <c r="Y51" s="283">
        <v>2650.8870000000002</v>
      </c>
      <c r="Z51" s="284">
        <v>2116.2990000000004</v>
      </c>
    </row>
    <row r="52" spans="1:26" s="82" customFormat="1" ht="9.9" customHeight="1" thickBot="1" x14ac:dyDescent="0.25">
      <c r="A52" s="305"/>
      <c r="B52" s="306" t="s">
        <v>140</v>
      </c>
      <c r="C52" s="307">
        <v>36595.758999999998</v>
      </c>
      <c r="D52" s="307">
        <v>35410.148999999998</v>
      </c>
      <c r="E52" s="307">
        <v>35251.284</v>
      </c>
      <c r="F52" s="307">
        <v>34880.883999999998</v>
      </c>
      <c r="G52" s="307">
        <v>34790.709000000003</v>
      </c>
      <c r="H52" s="307">
        <v>35991.999000000003</v>
      </c>
      <c r="I52" s="307">
        <v>35988.599000000002</v>
      </c>
      <c r="J52" s="307">
        <v>35973.249000000003</v>
      </c>
      <c r="K52" s="307">
        <v>39500.789000000004</v>
      </c>
      <c r="L52" s="307">
        <v>39602.257999999994</v>
      </c>
      <c r="M52" s="307">
        <v>40536.167999999991</v>
      </c>
      <c r="N52" s="308">
        <v>43865.518000000004</v>
      </c>
      <c r="O52" s="309">
        <v>43861.818000000007</v>
      </c>
      <c r="P52" s="309">
        <v>43861.818000000007</v>
      </c>
      <c r="Q52" s="309">
        <v>43834.218000000001</v>
      </c>
      <c r="R52" s="309">
        <v>43834.218000000001</v>
      </c>
      <c r="S52" s="309">
        <v>43762.195</v>
      </c>
      <c r="T52" s="309">
        <v>43781.614999999998</v>
      </c>
      <c r="U52" s="309">
        <v>43105.157000000007</v>
      </c>
      <c r="V52" s="309">
        <v>42810.072999999997</v>
      </c>
      <c r="W52" s="309">
        <v>42809.092999999993</v>
      </c>
      <c r="X52" s="309">
        <v>42752.052999999993</v>
      </c>
      <c r="Y52" s="309">
        <v>42499.964999999997</v>
      </c>
      <c r="Z52" s="310">
        <v>39028.97</v>
      </c>
    </row>
    <row r="53" spans="1:26" s="82" customFormat="1" ht="9.9" customHeight="1" thickTop="1" x14ac:dyDescent="0.2">
      <c r="A53" s="100" t="s">
        <v>148</v>
      </c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</row>
    <row r="54" spans="1:26" s="82" customFormat="1" ht="9.9" customHeight="1" x14ac:dyDescent="0.2">
      <c r="A54" s="82" t="s">
        <v>149</v>
      </c>
      <c r="D54" s="311"/>
      <c r="F54" s="312"/>
      <c r="G54" s="311"/>
      <c r="H54" s="311"/>
    </row>
    <row r="55" spans="1:26" s="89" customFormat="1" ht="9.9" customHeight="1" x14ac:dyDescent="0.2">
      <c r="A55" s="313" t="s">
        <v>150</v>
      </c>
      <c r="D55" s="314"/>
      <c r="G55" s="314"/>
      <c r="H55" s="314"/>
      <c r="I55" s="315"/>
      <c r="J55" s="315"/>
    </row>
    <row r="56" spans="1:26" x14ac:dyDescent="0.2">
      <c r="B56" s="316"/>
      <c r="C56" s="317"/>
      <c r="D56" s="317"/>
      <c r="E56" s="317"/>
      <c r="F56" s="317"/>
      <c r="G56" s="318"/>
      <c r="H56" s="318"/>
    </row>
    <row r="57" spans="1:26" x14ac:dyDescent="0.2">
      <c r="C57" s="318"/>
      <c r="E57" s="318"/>
      <c r="F57" s="318"/>
      <c r="G57" s="318"/>
      <c r="H57" s="318"/>
    </row>
    <row r="58" spans="1:26" x14ac:dyDescent="0.2">
      <c r="C58" s="319"/>
      <c r="E58" s="318"/>
      <c r="F58" s="318"/>
      <c r="G58" s="318"/>
      <c r="H58" s="318"/>
    </row>
    <row r="59" spans="1:26" x14ac:dyDescent="0.2">
      <c r="C59" s="319"/>
      <c r="E59" s="318"/>
      <c r="F59" s="318"/>
      <c r="G59" s="318"/>
      <c r="H59" s="318"/>
      <c r="I59" s="318"/>
      <c r="J59" s="318"/>
      <c r="K59" s="318"/>
      <c r="L59" s="318"/>
      <c r="M59" s="318"/>
    </row>
    <row r="60" spans="1:26" x14ac:dyDescent="0.2">
      <c r="C60" s="319"/>
    </row>
    <row r="61" spans="1:26" x14ac:dyDescent="0.2">
      <c r="C61" s="319"/>
    </row>
    <row r="62" spans="1:26" x14ac:dyDescent="0.2">
      <c r="C62" s="319"/>
    </row>
    <row r="63" spans="1:26" x14ac:dyDescent="0.2">
      <c r="C63" s="319"/>
    </row>
  </sheetData>
  <mergeCells count="3">
    <mergeCell ref="A4:B5"/>
    <mergeCell ref="C4:N4"/>
    <mergeCell ref="O4:Z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opLeftCell="A7" workbookViewId="0">
      <selection activeCell="M28" sqref="M28"/>
    </sheetView>
  </sheetViews>
  <sheetFormatPr defaultRowHeight="14.4" x14ac:dyDescent="0.3"/>
  <cols>
    <col min="1" max="1" width="5.6640625" customWidth="1"/>
    <col min="2" max="2" width="39.33203125" customWidth="1"/>
    <col min="3" max="14" width="8.6640625" customWidth="1"/>
    <col min="243" max="243" width="5.6640625" customWidth="1"/>
    <col min="244" max="244" width="39.33203125" customWidth="1"/>
    <col min="245" max="256" width="8.6640625" customWidth="1"/>
    <col min="499" max="499" width="5.6640625" customWidth="1"/>
    <col min="500" max="500" width="39.33203125" customWidth="1"/>
    <col min="501" max="512" width="8.6640625" customWidth="1"/>
    <col min="755" max="755" width="5.6640625" customWidth="1"/>
    <col min="756" max="756" width="39.33203125" customWidth="1"/>
    <col min="757" max="768" width="8.6640625" customWidth="1"/>
    <col min="1011" max="1011" width="5.6640625" customWidth="1"/>
    <col min="1012" max="1012" width="39.33203125" customWidth="1"/>
    <col min="1013" max="1024" width="8.6640625" customWidth="1"/>
    <col min="1267" max="1267" width="5.6640625" customWidth="1"/>
    <col min="1268" max="1268" width="39.33203125" customWidth="1"/>
    <col min="1269" max="1280" width="8.6640625" customWidth="1"/>
    <col min="1523" max="1523" width="5.6640625" customWidth="1"/>
    <col min="1524" max="1524" width="39.33203125" customWidth="1"/>
    <col min="1525" max="1536" width="8.6640625" customWidth="1"/>
    <col min="1779" max="1779" width="5.6640625" customWidth="1"/>
    <col min="1780" max="1780" width="39.33203125" customWidth="1"/>
    <col min="1781" max="1792" width="8.6640625" customWidth="1"/>
    <col min="2035" max="2035" width="5.6640625" customWidth="1"/>
    <col min="2036" max="2036" width="39.33203125" customWidth="1"/>
    <col min="2037" max="2048" width="8.6640625" customWidth="1"/>
    <col min="2291" max="2291" width="5.6640625" customWidth="1"/>
    <col min="2292" max="2292" width="39.33203125" customWidth="1"/>
    <col min="2293" max="2304" width="8.6640625" customWidth="1"/>
    <col min="2547" max="2547" width="5.6640625" customWidth="1"/>
    <col min="2548" max="2548" width="39.33203125" customWidth="1"/>
    <col min="2549" max="2560" width="8.6640625" customWidth="1"/>
    <col min="2803" max="2803" width="5.6640625" customWidth="1"/>
    <col min="2804" max="2804" width="39.33203125" customWidth="1"/>
    <col min="2805" max="2816" width="8.6640625" customWidth="1"/>
    <col min="3059" max="3059" width="5.6640625" customWidth="1"/>
    <col min="3060" max="3060" width="39.33203125" customWidth="1"/>
    <col min="3061" max="3072" width="8.6640625" customWidth="1"/>
    <col min="3315" max="3315" width="5.6640625" customWidth="1"/>
    <col min="3316" max="3316" width="39.33203125" customWidth="1"/>
    <col min="3317" max="3328" width="8.6640625" customWidth="1"/>
    <col min="3571" max="3571" width="5.6640625" customWidth="1"/>
    <col min="3572" max="3572" width="39.33203125" customWidth="1"/>
    <col min="3573" max="3584" width="8.6640625" customWidth="1"/>
    <col min="3827" max="3827" width="5.6640625" customWidth="1"/>
    <col min="3828" max="3828" width="39.33203125" customWidth="1"/>
    <col min="3829" max="3840" width="8.6640625" customWidth="1"/>
    <col min="4083" max="4083" width="5.6640625" customWidth="1"/>
    <col min="4084" max="4084" width="39.33203125" customWidth="1"/>
    <col min="4085" max="4096" width="8.6640625" customWidth="1"/>
    <col min="4339" max="4339" width="5.6640625" customWidth="1"/>
    <col min="4340" max="4340" width="39.33203125" customWidth="1"/>
    <col min="4341" max="4352" width="8.6640625" customWidth="1"/>
    <col min="4595" max="4595" width="5.6640625" customWidth="1"/>
    <col min="4596" max="4596" width="39.33203125" customWidth="1"/>
    <col min="4597" max="4608" width="8.6640625" customWidth="1"/>
    <col min="4851" max="4851" width="5.6640625" customWidth="1"/>
    <col min="4852" max="4852" width="39.33203125" customWidth="1"/>
    <col min="4853" max="4864" width="8.6640625" customWidth="1"/>
    <col min="5107" max="5107" width="5.6640625" customWidth="1"/>
    <col min="5108" max="5108" width="39.33203125" customWidth="1"/>
    <col min="5109" max="5120" width="8.6640625" customWidth="1"/>
    <col min="5363" max="5363" width="5.6640625" customWidth="1"/>
    <col min="5364" max="5364" width="39.33203125" customWidth="1"/>
    <col min="5365" max="5376" width="8.6640625" customWidth="1"/>
    <col min="5619" max="5619" width="5.6640625" customWidth="1"/>
    <col min="5620" max="5620" width="39.33203125" customWidth="1"/>
    <col min="5621" max="5632" width="8.6640625" customWidth="1"/>
    <col min="5875" max="5875" width="5.6640625" customWidth="1"/>
    <col min="5876" max="5876" width="39.33203125" customWidth="1"/>
    <col min="5877" max="5888" width="8.6640625" customWidth="1"/>
    <col min="6131" max="6131" width="5.6640625" customWidth="1"/>
    <col min="6132" max="6132" width="39.33203125" customWidth="1"/>
    <col min="6133" max="6144" width="8.6640625" customWidth="1"/>
    <col min="6387" max="6387" width="5.6640625" customWidth="1"/>
    <col min="6388" max="6388" width="39.33203125" customWidth="1"/>
    <col min="6389" max="6400" width="8.6640625" customWidth="1"/>
    <col min="6643" max="6643" width="5.6640625" customWidth="1"/>
    <col min="6644" max="6644" width="39.33203125" customWidth="1"/>
    <col min="6645" max="6656" width="8.6640625" customWidth="1"/>
    <col min="6899" max="6899" width="5.6640625" customWidth="1"/>
    <col min="6900" max="6900" width="39.33203125" customWidth="1"/>
    <col min="6901" max="6912" width="8.6640625" customWidth="1"/>
    <col min="7155" max="7155" width="5.6640625" customWidth="1"/>
    <col min="7156" max="7156" width="39.33203125" customWidth="1"/>
    <col min="7157" max="7168" width="8.6640625" customWidth="1"/>
    <col min="7411" max="7411" width="5.6640625" customWidth="1"/>
    <col min="7412" max="7412" width="39.33203125" customWidth="1"/>
    <col min="7413" max="7424" width="8.6640625" customWidth="1"/>
    <col min="7667" max="7667" width="5.6640625" customWidth="1"/>
    <col min="7668" max="7668" width="39.33203125" customWidth="1"/>
    <col min="7669" max="7680" width="8.6640625" customWidth="1"/>
    <col min="7923" max="7923" width="5.6640625" customWidth="1"/>
    <col min="7924" max="7924" width="39.33203125" customWidth="1"/>
    <col min="7925" max="7936" width="8.6640625" customWidth="1"/>
    <col min="8179" max="8179" width="5.6640625" customWidth="1"/>
    <col min="8180" max="8180" width="39.33203125" customWidth="1"/>
    <col min="8181" max="8192" width="8.6640625" customWidth="1"/>
    <col min="8435" max="8435" width="5.6640625" customWidth="1"/>
    <col min="8436" max="8436" width="39.33203125" customWidth="1"/>
    <col min="8437" max="8448" width="8.6640625" customWidth="1"/>
    <col min="8691" max="8691" width="5.6640625" customWidth="1"/>
    <col min="8692" max="8692" width="39.33203125" customWidth="1"/>
    <col min="8693" max="8704" width="8.6640625" customWidth="1"/>
    <col min="8947" max="8947" width="5.6640625" customWidth="1"/>
    <col min="8948" max="8948" width="39.33203125" customWidth="1"/>
    <col min="8949" max="8960" width="8.6640625" customWidth="1"/>
    <col min="9203" max="9203" width="5.6640625" customWidth="1"/>
    <col min="9204" max="9204" width="39.33203125" customWidth="1"/>
    <col min="9205" max="9216" width="8.6640625" customWidth="1"/>
    <col min="9459" max="9459" width="5.6640625" customWidth="1"/>
    <col min="9460" max="9460" width="39.33203125" customWidth="1"/>
    <col min="9461" max="9472" width="8.6640625" customWidth="1"/>
    <col min="9715" max="9715" width="5.6640625" customWidth="1"/>
    <col min="9716" max="9716" width="39.33203125" customWidth="1"/>
    <col min="9717" max="9728" width="8.6640625" customWidth="1"/>
    <col min="9971" max="9971" width="5.6640625" customWidth="1"/>
    <col min="9972" max="9972" width="39.33203125" customWidth="1"/>
    <col min="9973" max="9984" width="8.6640625" customWidth="1"/>
    <col min="10227" max="10227" width="5.6640625" customWidth="1"/>
    <col min="10228" max="10228" width="39.33203125" customWidth="1"/>
    <col min="10229" max="10240" width="8.6640625" customWidth="1"/>
    <col min="10483" max="10483" width="5.6640625" customWidth="1"/>
    <col min="10484" max="10484" width="39.33203125" customWidth="1"/>
    <col min="10485" max="10496" width="8.6640625" customWidth="1"/>
    <col min="10739" max="10739" width="5.6640625" customWidth="1"/>
    <col min="10740" max="10740" width="39.33203125" customWidth="1"/>
    <col min="10741" max="10752" width="8.6640625" customWidth="1"/>
    <col min="10995" max="10995" width="5.6640625" customWidth="1"/>
    <col min="10996" max="10996" width="39.33203125" customWidth="1"/>
    <col min="10997" max="11008" width="8.6640625" customWidth="1"/>
    <col min="11251" max="11251" width="5.6640625" customWidth="1"/>
    <col min="11252" max="11252" width="39.33203125" customWidth="1"/>
    <col min="11253" max="11264" width="8.6640625" customWidth="1"/>
    <col min="11507" max="11507" width="5.6640625" customWidth="1"/>
    <col min="11508" max="11508" width="39.33203125" customWidth="1"/>
    <col min="11509" max="11520" width="8.6640625" customWidth="1"/>
    <col min="11763" max="11763" width="5.6640625" customWidth="1"/>
    <col min="11764" max="11764" width="39.33203125" customWidth="1"/>
    <col min="11765" max="11776" width="8.6640625" customWidth="1"/>
    <col min="12019" max="12019" width="5.6640625" customWidth="1"/>
    <col min="12020" max="12020" width="39.33203125" customWidth="1"/>
    <col min="12021" max="12032" width="8.6640625" customWidth="1"/>
    <col min="12275" max="12275" width="5.6640625" customWidth="1"/>
    <col min="12276" max="12276" width="39.33203125" customWidth="1"/>
    <col min="12277" max="12288" width="8.6640625" customWidth="1"/>
    <col min="12531" max="12531" width="5.6640625" customWidth="1"/>
    <col min="12532" max="12532" width="39.33203125" customWidth="1"/>
    <col min="12533" max="12544" width="8.6640625" customWidth="1"/>
    <col min="12787" max="12787" width="5.6640625" customWidth="1"/>
    <col min="12788" max="12788" width="39.33203125" customWidth="1"/>
    <col min="12789" max="12800" width="8.6640625" customWidth="1"/>
    <col min="13043" max="13043" width="5.6640625" customWidth="1"/>
    <col min="13044" max="13044" width="39.33203125" customWidth="1"/>
    <col min="13045" max="13056" width="8.6640625" customWidth="1"/>
    <col min="13299" max="13299" width="5.6640625" customWidth="1"/>
    <col min="13300" max="13300" width="39.33203125" customWidth="1"/>
    <col min="13301" max="13312" width="8.6640625" customWidth="1"/>
    <col min="13555" max="13555" width="5.6640625" customWidth="1"/>
    <col min="13556" max="13556" width="39.33203125" customWidth="1"/>
    <col min="13557" max="13568" width="8.6640625" customWidth="1"/>
    <col min="13811" max="13811" width="5.6640625" customWidth="1"/>
    <col min="13812" max="13812" width="39.33203125" customWidth="1"/>
    <col min="13813" max="13824" width="8.6640625" customWidth="1"/>
    <col min="14067" max="14067" width="5.6640625" customWidth="1"/>
    <col min="14068" max="14068" width="39.33203125" customWidth="1"/>
    <col min="14069" max="14080" width="8.6640625" customWidth="1"/>
    <col min="14323" max="14323" width="5.6640625" customWidth="1"/>
    <col min="14324" max="14324" width="39.33203125" customWidth="1"/>
    <col min="14325" max="14336" width="8.6640625" customWidth="1"/>
    <col min="14579" max="14579" width="5.6640625" customWidth="1"/>
    <col min="14580" max="14580" width="39.33203125" customWidth="1"/>
    <col min="14581" max="14592" width="8.6640625" customWidth="1"/>
    <col min="14835" max="14835" width="5.6640625" customWidth="1"/>
    <col min="14836" max="14836" width="39.33203125" customWidth="1"/>
    <col min="14837" max="14848" width="8.6640625" customWidth="1"/>
    <col min="15091" max="15091" width="5.6640625" customWidth="1"/>
    <col min="15092" max="15092" width="39.33203125" customWidth="1"/>
    <col min="15093" max="15104" width="8.6640625" customWidth="1"/>
    <col min="15347" max="15347" width="5.6640625" customWidth="1"/>
    <col min="15348" max="15348" width="39.33203125" customWidth="1"/>
    <col min="15349" max="15360" width="8.6640625" customWidth="1"/>
    <col min="15603" max="15603" width="5.6640625" customWidth="1"/>
    <col min="15604" max="15604" width="39.33203125" customWidth="1"/>
    <col min="15605" max="15616" width="8.6640625" customWidth="1"/>
    <col min="15859" max="15859" width="5.6640625" customWidth="1"/>
    <col min="15860" max="15860" width="39.33203125" customWidth="1"/>
    <col min="15861" max="15872" width="8.6640625" customWidth="1"/>
    <col min="16115" max="16115" width="5.6640625" customWidth="1"/>
    <col min="16116" max="16116" width="39.33203125" customWidth="1"/>
    <col min="16117" max="16128" width="8.6640625" customWidth="1"/>
  </cols>
  <sheetData>
    <row r="1" spans="1:26" s="321" customFormat="1" ht="22.8" x14ac:dyDescent="0.4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26" x14ac:dyDescent="0.3">
      <c r="B2" s="322"/>
    </row>
    <row r="3" spans="1:26" ht="15" thickBot="1" x14ac:dyDescent="0.35">
      <c r="A3" s="323" t="s">
        <v>151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</row>
    <row r="4" spans="1:26" s="325" customFormat="1" ht="9" customHeight="1" thickTop="1" x14ac:dyDescent="0.2">
      <c r="A4" s="471" t="s">
        <v>130</v>
      </c>
      <c r="B4" s="472"/>
      <c r="C4" s="475" t="s">
        <v>152</v>
      </c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7"/>
      <c r="O4" s="478" t="s">
        <v>153</v>
      </c>
      <c r="P4" s="478"/>
      <c r="Q4" s="478"/>
      <c r="R4" s="478"/>
      <c r="S4" s="478"/>
      <c r="T4" s="478"/>
      <c r="U4" s="478"/>
      <c r="V4" s="478"/>
      <c r="W4" s="478"/>
      <c r="X4" s="478"/>
      <c r="Y4" s="478"/>
      <c r="Z4" s="479"/>
    </row>
    <row r="5" spans="1:26" s="325" customFormat="1" ht="9" customHeight="1" x14ac:dyDescent="0.2">
      <c r="A5" s="473"/>
      <c r="B5" s="474"/>
      <c r="C5" s="265" t="s">
        <v>5</v>
      </c>
      <c r="D5" s="265" t="s">
        <v>133</v>
      </c>
      <c r="E5" s="265" t="s">
        <v>7</v>
      </c>
      <c r="F5" s="265" t="s">
        <v>8</v>
      </c>
      <c r="G5" s="265" t="s">
        <v>9</v>
      </c>
      <c r="H5" s="265" t="s">
        <v>10</v>
      </c>
      <c r="I5" s="265" t="s">
        <v>11</v>
      </c>
      <c r="J5" s="265" t="s">
        <v>12</v>
      </c>
      <c r="K5" s="265" t="s">
        <v>13</v>
      </c>
      <c r="L5" s="265" t="s">
        <v>14</v>
      </c>
      <c r="M5" s="265" t="s">
        <v>15</v>
      </c>
      <c r="N5" s="266" t="s">
        <v>16</v>
      </c>
      <c r="O5" s="265" t="s">
        <v>5</v>
      </c>
      <c r="P5" s="265" t="s">
        <v>133</v>
      </c>
      <c r="Q5" s="265" t="s">
        <v>7</v>
      </c>
      <c r="R5" s="265" t="s">
        <v>8</v>
      </c>
      <c r="S5" s="265" t="s">
        <v>9</v>
      </c>
      <c r="T5" s="265" t="s">
        <v>10</v>
      </c>
      <c r="U5" s="265" t="s">
        <v>11</v>
      </c>
      <c r="V5" s="265" t="s">
        <v>12</v>
      </c>
      <c r="W5" s="265" t="s">
        <v>13</v>
      </c>
      <c r="X5" s="265" t="s">
        <v>14</v>
      </c>
      <c r="Y5" s="265" t="s">
        <v>15</v>
      </c>
      <c r="Z5" s="266" t="s">
        <v>16</v>
      </c>
    </row>
    <row r="6" spans="1:26" s="329" customFormat="1" ht="10.199999999999999" x14ac:dyDescent="0.2">
      <c r="A6" s="326">
        <v>1</v>
      </c>
      <c r="B6" s="114" t="s">
        <v>111</v>
      </c>
      <c r="C6" s="271">
        <f t="shared" ref="C6:N6" si="0">SUM(C7:C11)</f>
        <v>136468.10700000002</v>
      </c>
      <c r="D6" s="271">
        <f t="shared" si="0"/>
        <v>136468.10699999999</v>
      </c>
      <c r="E6" s="271">
        <f t="shared" si="0"/>
        <v>136468.10699999999</v>
      </c>
      <c r="F6" s="271">
        <f t="shared" si="0"/>
        <v>136468.10700000002</v>
      </c>
      <c r="G6" s="271">
        <f t="shared" si="0"/>
        <v>136468.10700000002</v>
      </c>
      <c r="H6" s="271">
        <f t="shared" si="0"/>
        <v>136468.10699999999</v>
      </c>
      <c r="I6" s="271">
        <f t="shared" si="0"/>
        <v>136468.10699999999</v>
      </c>
      <c r="J6" s="271">
        <f t="shared" si="0"/>
        <v>136468.10699999999</v>
      </c>
      <c r="K6" s="271">
        <f t="shared" si="0"/>
        <v>136468.10699999999</v>
      </c>
      <c r="L6" s="271">
        <f t="shared" si="0"/>
        <v>136468.106</v>
      </c>
      <c r="M6" s="271">
        <f t="shared" si="0"/>
        <v>136468.106</v>
      </c>
      <c r="N6" s="272">
        <f t="shared" si="0"/>
        <v>136468.10699999999</v>
      </c>
      <c r="O6" s="271">
        <f>SUM(O7:O11)</f>
        <v>136468.10699999999</v>
      </c>
      <c r="P6" s="271">
        <f t="shared" ref="P6:Y6" si="1">SUM(P7:P11)</f>
        <v>136468.10699999999</v>
      </c>
      <c r="Q6" s="271">
        <f t="shared" si="1"/>
        <v>136468.10700000002</v>
      </c>
      <c r="R6" s="271">
        <f t="shared" si="1"/>
        <v>136468.10700000002</v>
      </c>
      <c r="S6" s="271">
        <f t="shared" si="1"/>
        <v>129968.107</v>
      </c>
      <c r="T6" s="271">
        <f t="shared" si="1"/>
        <v>126968.107</v>
      </c>
      <c r="U6" s="271">
        <f t="shared" si="1"/>
        <v>126968.107</v>
      </c>
      <c r="V6" s="271">
        <f t="shared" si="1"/>
        <v>124968.107</v>
      </c>
      <c r="W6" s="271">
        <f t="shared" si="1"/>
        <v>124968.107</v>
      </c>
      <c r="X6" s="271">
        <f t="shared" si="1"/>
        <v>119468.107</v>
      </c>
      <c r="Y6" s="327">
        <f t="shared" si="1"/>
        <v>114758.107</v>
      </c>
      <c r="Z6" s="328">
        <f>SUM(Z7:Z11)</f>
        <v>119858.10699999999</v>
      </c>
    </row>
    <row r="7" spans="1:26" s="329" customFormat="1" ht="10.199999999999999" x14ac:dyDescent="0.2">
      <c r="A7" s="326"/>
      <c r="B7" s="116" t="s">
        <v>135</v>
      </c>
      <c r="C7" s="283">
        <v>12968.932000000001</v>
      </c>
      <c r="D7" s="283">
        <v>16468.932000000001</v>
      </c>
      <c r="E7" s="283">
        <v>21468.932000000001</v>
      </c>
      <c r="F7" s="283">
        <v>21468.932000000001</v>
      </c>
      <c r="G7" s="283">
        <v>21468.932000000001</v>
      </c>
      <c r="H7" s="283">
        <v>21468.932000000001</v>
      </c>
      <c r="I7" s="283">
        <v>21468.932000000001</v>
      </c>
      <c r="J7" s="283">
        <v>21468.932000000001</v>
      </c>
      <c r="K7" s="283">
        <v>21468.932000000001</v>
      </c>
      <c r="L7" s="283">
        <v>21468.931</v>
      </c>
      <c r="M7" s="283">
        <v>22048.931</v>
      </c>
      <c r="N7" s="284">
        <v>22048.932000000001</v>
      </c>
      <c r="O7" s="283">
        <v>22048.932000000001</v>
      </c>
      <c r="P7" s="283">
        <v>21468.932000000001</v>
      </c>
      <c r="Q7" s="283">
        <v>21518.932000000001</v>
      </c>
      <c r="R7" s="283">
        <v>21468.932000000001</v>
      </c>
      <c r="S7" s="283">
        <v>21468.932000000001</v>
      </c>
      <c r="T7" s="283">
        <v>21468.932000000001</v>
      </c>
      <c r="U7" s="283">
        <v>21468.932000000001</v>
      </c>
      <c r="V7" s="283">
        <v>21468.932000000001</v>
      </c>
      <c r="W7" s="283">
        <v>21468.932000000001</v>
      </c>
      <c r="X7" s="283">
        <v>17968.932000000001</v>
      </c>
      <c r="Y7" s="283">
        <v>17968.932000000001</v>
      </c>
      <c r="Z7" s="284">
        <v>17968.932000000001</v>
      </c>
    </row>
    <row r="8" spans="1:26" s="329" customFormat="1" ht="10.199999999999999" x14ac:dyDescent="0.2">
      <c r="A8" s="326"/>
      <c r="B8" s="116" t="s">
        <v>136</v>
      </c>
      <c r="C8" s="283">
        <v>121545.55</v>
      </c>
      <c r="D8" s="283">
        <v>118082</v>
      </c>
      <c r="E8" s="283">
        <v>113383</v>
      </c>
      <c r="F8" s="283">
        <v>113511.35</v>
      </c>
      <c r="G8" s="283">
        <v>113780.85</v>
      </c>
      <c r="H8" s="283">
        <v>113683.375</v>
      </c>
      <c r="I8" s="283">
        <v>113743.9</v>
      </c>
      <c r="J8" s="283">
        <v>113743.9</v>
      </c>
      <c r="K8" s="283">
        <v>113983.47500000001</v>
      </c>
      <c r="L8" s="283">
        <v>113786.02499999999</v>
      </c>
      <c r="M8" s="283">
        <v>113201.02499999999</v>
      </c>
      <c r="N8" s="284">
        <v>113360.25</v>
      </c>
      <c r="O8" s="283">
        <v>113364.25</v>
      </c>
      <c r="P8" s="283">
        <v>113849.25</v>
      </c>
      <c r="Q8" s="283">
        <v>113809.22500000001</v>
      </c>
      <c r="R8" s="283">
        <v>114044.22500000001</v>
      </c>
      <c r="S8" s="283">
        <v>107513.2</v>
      </c>
      <c r="T8" s="283">
        <v>104600.7</v>
      </c>
      <c r="U8" s="283">
        <v>104486.7</v>
      </c>
      <c r="V8" s="283">
        <v>102667.72500000001</v>
      </c>
      <c r="W8" s="283">
        <v>102427.97500000001</v>
      </c>
      <c r="X8" s="283">
        <v>100392.175</v>
      </c>
      <c r="Y8" s="283">
        <v>95382.175000000003</v>
      </c>
      <c r="Z8" s="284">
        <v>100729.15</v>
      </c>
    </row>
    <row r="9" spans="1:26" s="329" customFormat="1" ht="10.199999999999999" x14ac:dyDescent="0.2">
      <c r="A9" s="326"/>
      <c r="B9" s="116" t="s">
        <v>154</v>
      </c>
      <c r="C9" s="283">
        <v>1399.875</v>
      </c>
      <c r="D9" s="283">
        <v>1379.875</v>
      </c>
      <c r="E9" s="283">
        <v>1249.875</v>
      </c>
      <c r="F9" s="283">
        <v>1120.95</v>
      </c>
      <c r="G9" s="283">
        <v>941.45</v>
      </c>
      <c r="H9" s="283">
        <v>1021.925</v>
      </c>
      <c r="I9" s="283">
        <v>966.97500000000002</v>
      </c>
      <c r="J9" s="283">
        <v>976.97500000000002</v>
      </c>
      <c r="K9" s="283">
        <v>847.4</v>
      </c>
      <c r="L9" s="283">
        <v>874.85</v>
      </c>
      <c r="M9" s="283">
        <v>879.85</v>
      </c>
      <c r="N9" s="284">
        <v>721.42499999999995</v>
      </c>
      <c r="O9" s="283">
        <v>627.42499999999995</v>
      </c>
      <c r="P9" s="283">
        <v>622.42499999999995</v>
      </c>
      <c r="Q9" s="283">
        <v>614.95000000000005</v>
      </c>
      <c r="R9" s="283">
        <v>589.95000000000005</v>
      </c>
      <c r="S9" s="283">
        <v>650.97500000000002</v>
      </c>
      <c r="T9" s="283">
        <v>663.47500000000002</v>
      </c>
      <c r="U9" s="283">
        <v>777.47500000000002</v>
      </c>
      <c r="V9" s="283">
        <v>616.45000000000005</v>
      </c>
      <c r="W9" s="283">
        <v>806.2</v>
      </c>
      <c r="X9" s="283">
        <v>802</v>
      </c>
      <c r="Y9" s="283">
        <v>1052</v>
      </c>
      <c r="Z9" s="284">
        <v>906.95</v>
      </c>
    </row>
    <row r="10" spans="1:26" s="329" customFormat="1" ht="10.199999999999999" x14ac:dyDescent="0.2">
      <c r="A10" s="326"/>
      <c r="B10" s="116" t="s">
        <v>155</v>
      </c>
      <c r="C10" s="283">
        <v>503.75</v>
      </c>
      <c r="D10" s="283">
        <v>487.3</v>
      </c>
      <c r="E10" s="283">
        <v>366.3</v>
      </c>
      <c r="F10" s="283">
        <v>366.875</v>
      </c>
      <c r="G10" s="283">
        <v>276.875</v>
      </c>
      <c r="H10" s="283">
        <v>293.875</v>
      </c>
      <c r="I10" s="283">
        <v>288.3</v>
      </c>
      <c r="J10" s="283">
        <v>278.3</v>
      </c>
      <c r="K10" s="283">
        <v>168.3</v>
      </c>
      <c r="L10" s="283">
        <v>338.3</v>
      </c>
      <c r="M10" s="283">
        <v>338.3</v>
      </c>
      <c r="N10" s="284">
        <v>337.5</v>
      </c>
      <c r="O10" s="283">
        <v>427.5</v>
      </c>
      <c r="P10" s="283">
        <v>527.5</v>
      </c>
      <c r="Q10" s="283">
        <v>525</v>
      </c>
      <c r="R10" s="283">
        <v>365</v>
      </c>
      <c r="S10" s="283">
        <v>335</v>
      </c>
      <c r="T10" s="283">
        <v>235</v>
      </c>
      <c r="U10" s="283">
        <v>235</v>
      </c>
      <c r="V10" s="283">
        <v>215</v>
      </c>
      <c r="W10" s="283">
        <v>265</v>
      </c>
      <c r="X10" s="283">
        <v>305</v>
      </c>
      <c r="Y10" s="283">
        <v>355</v>
      </c>
      <c r="Z10" s="284">
        <v>253.07499999999999</v>
      </c>
    </row>
    <row r="11" spans="1:26" s="329" customFormat="1" ht="10.199999999999999" x14ac:dyDescent="0.2">
      <c r="A11" s="326"/>
      <c r="B11" s="116" t="s">
        <v>156</v>
      </c>
      <c r="C11" s="283">
        <v>50</v>
      </c>
      <c r="D11" s="283">
        <v>50</v>
      </c>
      <c r="E11" s="283">
        <v>0</v>
      </c>
      <c r="F11" s="283">
        <v>0</v>
      </c>
      <c r="G11" s="283">
        <v>0</v>
      </c>
      <c r="H11" s="283">
        <v>0</v>
      </c>
      <c r="I11" s="283">
        <v>0</v>
      </c>
      <c r="J11" s="283">
        <v>0</v>
      </c>
      <c r="K11" s="283">
        <v>0</v>
      </c>
      <c r="L11" s="283">
        <v>0</v>
      </c>
      <c r="M11" s="283">
        <v>0</v>
      </c>
      <c r="N11" s="284">
        <v>0</v>
      </c>
      <c r="O11" s="283">
        <v>0</v>
      </c>
      <c r="P11" s="283">
        <v>0</v>
      </c>
      <c r="Q11" s="283">
        <v>0</v>
      </c>
      <c r="R11" s="283">
        <v>0</v>
      </c>
      <c r="S11" s="283">
        <v>0</v>
      </c>
      <c r="T11" s="283">
        <v>0</v>
      </c>
      <c r="U11" s="283">
        <v>0</v>
      </c>
      <c r="V11" s="283">
        <v>0</v>
      </c>
      <c r="W11" s="283">
        <v>0</v>
      </c>
      <c r="X11" s="283">
        <v>0</v>
      </c>
      <c r="Y11" s="283">
        <v>0</v>
      </c>
      <c r="Z11" s="284">
        <v>0</v>
      </c>
    </row>
    <row r="12" spans="1:26" s="329" customFormat="1" ht="10.199999999999999" x14ac:dyDescent="0.2">
      <c r="A12" s="326">
        <v>2</v>
      </c>
      <c r="B12" s="114" t="s">
        <v>112</v>
      </c>
      <c r="C12" s="271">
        <f t="shared" ref="C12:Y12" si="2">SUM(C13:C17)</f>
        <v>51610.899999999994</v>
      </c>
      <c r="D12" s="271">
        <f t="shared" si="2"/>
        <v>51610.899999999994</v>
      </c>
      <c r="E12" s="271">
        <f t="shared" si="2"/>
        <v>51610.899999999994</v>
      </c>
      <c r="F12" s="271">
        <f t="shared" si="2"/>
        <v>51610.899999999994</v>
      </c>
      <c r="G12" s="271">
        <f t="shared" si="2"/>
        <v>54610.899999999994</v>
      </c>
      <c r="H12" s="271">
        <f t="shared" si="2"/>
        <v>57110.899999999994</v>
      </c>
      <c r="I12" s="271">
        <f t="shared" si="2"/>
        <v>57110.899999999994</v>
      </c>
      <c r="J12" s="271">
        <f t="shared" si="2"/>
        <v>57110.899999999994</v>
      </c>
      <c r="K12" s="271">
        <f t="shared" si="2"/>
        <v>57110.899999999994</v>
      </c>
      <c r="L12" s="271">
        <f t="shared" si="2"/>
        <v>57110.899999999994</v>
      </c>
      <c r="M12" s="271">
        <f t="shared" si="2"/>
        <v>52110.899999999994</v>
      </c>
      <c r="N12" s="272">
        <f t="shared" si="2"/>
        <v>47110.899999999994</v>
      </c>
      <c r="O12" s="271">
        <f t="shared" si="2"/>
        <v>47110.899999999994</v>
      </c>
      <c r="P12" s="271">
        <f t="shared" si="2"/>
        <v>47110.9</v>
      </c>
      <c r="Q12" s="271">
        <f t="shared" si="2"/>
        <v>47110.9</v>
      </c>
      <c r="R12" s="271">
        <f t="shared" si="2"/>
        <v>47110.9</v>
      </c>
      <c r="S12" s="271">
        <f t="shared" si="2"/>
        <v>47110.9</v>
      </c>
      <c r="T12" s="271">
        <f t="shared" si="2"/>
        <v>45110.899999999994</v>
      </c>
      <c r="U12" s="271">
        <f t="shared" si="2"/>
        <v>45110.9</v>
      </c>
      <c r="V12" s="271">
        <f t="shared" si="2"/>
        <v>45110.9</v>
      </c>
      <c r="W12" s="271">
        <f t="shared" si="2"/>
        <v>38610.9</v>
      </c>
      <c r="X12" s="271">
        <f t="shared" si="2"/>
        <v>38610.9</v>
      </c>
      <c r="Y12" s="271">
        <f t="shared" si="2"/>
        <v>47060.9</v>
      </c>
      <c r="Z12" s="272">
        <f>SUM(Z13:Z17)</f>
        <v>57070</v>
      </c>
    </row>
    <row r="13" spans="1:26" s="329" customFormat="1" ht="10.199999999999999" x14ac:dyDescent="0.2">
      <c r="A13" s="326"/>
      <c r="B13" s="116" t="s">
        <v>135</v>
      </c>
      <c r="C13" s="283">
        <v>319.17500000000001</v>
      </c>
      <c r="D13" s="283">
        <v>319.17500000000001</v>
      </c>
      <c r="E13" s="283">
        <v>319.17500000000001</v>
      </c>
      <c r="F13" s="283">
        <v>319.17500000000001</v>
      </c>
      <c r="G13" s="283">
        <v>319.17500000000001</v>
      </c>
      <c r="H13" s="283">
        <v>319.17500000000001</v>
      </c>
      <c r="I13" s="283">
        <v>319.17500000000001</v>
      </c>
      <c r="J13" s="283">
        <v>319.17500000000001</v>
      </c>
      <c r="K13" s="283">
        <v>319.17500000000001</v>
      </c>
      <c r="L13" s="283">
        <v>290.5</v>
      </c>
      <c r="M13" s="283">
        <v>290.5</v>
      </c>
      <c r="N13" s="284">
        <v>0</v>
      </c>
      <c r="O13" s="283">
        <v>0</v>
      </c>
      <c r="P13" s="283">
        <v>0</v>
      </c>
      <c r="Q13" s="283">
        <v>0</v>
      </c>
      <c r="R13" s="283">
        <v>0</v>
      </c>
      <c r="S13" s="283">
        <v>0</v>
      </c>
      <c r="T13" s="283">
        <v>0</v>
      </c>
      <c r="U13" s="283">
        <v>0</v>
      </c>
      <c r="V13" s="283">
        <v>0</v>
      </c>
      <c r="W13" s="283">
        <v>0</v>
      </c>
      <c r="X13" s="283">
        <v>0</v>
      </c>
      <c r="Y13" s="283">
        <v>0</v>
      </c>
      <c r="Z13" s="284">
        <v>28.675000000000001</v>
      </c>
    </row>
    <row r="14" spans="1:26" s="329" customFormat="1" ht="10.199999999999999" x14ac:dyDescent="0.2">
      <c r="A14" s="326"/>
      <c r="B14" s="116" t="s">
        <v>136</v>
      </c>
      <c r="C14" s="283">
        <v>25738.724999999999</v>
      </c>
      <c r="D14" s="283">
        <v>25738.724999999999</v>
      </c>
      <c r="E14" s="283">
        <v>25738.724999999999</v>
      </c>
      <c r="F14" s="283">
        <v>25738.724999999999</v>
      </c>
      <c r="G14" s="283">
        <v>27329.674999999999</v>
      </c>
      <c r="H14" s="283">
        <v>28094.674999999999</v>
      </c>
      <c r="I14" s="283">
        <v>28094.674999999999</v>
      </c>
      <c r="J14" s="283">
        <v>28094.674999999999</v>
      </c>
      <c r="K14" s="283">
        <v>28094.674999999999</v>
      </c>
      <c r="L14" s="283">
        <v>28094.674999999999</v>
      </c>
      <c r="M14" s="283">
        <v>25165.174999999999</v>
      </c>
      <c r="N14" s="284">
        <v>23006.775000000001</v>
      </c>
      <c r="O14" s="283">
        <v>23006.775000000001</v>
      </c>
      <c r="P14" s="283">
        <v>23006.775000000001</v>
      </c>
      <c r="Q14" s="283">
        <v>23006.775000000001</v>
      </c>
      <c r="R14" s="283">
        <v>23006.775000000001</v>
      </c>
      <c r="S14" s="283">
        <v>23006.775000000001</v>
      </c>
      <c r="T14" s="283">
        <v>22061.775000000001</v>
      </c>
      <c r="U14" s="283">
        <v>22061.775000000001</v>
      </c>
      <c r="V14" s="283">
        <v>22061.775000000001</v>
      </c>
      <c r="W14" s="283">
        <v>18564.275000000001</v>
      </c>
      <c r="X14" s="283">
        <v>18564.275000000001</v>
      </c>
      <c r="Y14" s="283">
        <v>26780.825000000001</v>
      </c>
      <c r="Z14" s="284">
        <v>35633.925000000003</v>
      </c>
    </row>
    <row r="15" spans="1:26" s="329" customFormat="1" ht="10.199999999999999" x14ac:dyDescent="0.2">
      <c r="A15" s="326"/>
      <c r="B15" s="116" t="s">
        <v>154</v>
      </c>
      <c r="C15" s="283">
        <v>1503.575</v>
      </c>
      <c r="D15" s="283">
        <v>1503.575</v>
      </c>
      <c r="E15" s="283">
        <v>1503.575</v>
      </c>
      <c r="F15" s="283">
        <v>1503.575</v>
      </c>
      <c r="G15" s="283">
        <v>1733.175</v>
      </c>
      <c r="H15" s="283">
        <v>2135.6750000000002</v>
      </c>
      <c r="I15" s="283">
        <v>2135.6750000000002</v>
      </c>
      <c r="J15" s="283">
        <v>2135.6750000000002</v>
      </c>
      <c r="K15" s="283">
        <v>2135.6750000000002</v>
      </c>
      <c r="L15" s="283">
        <v>2135.6750000000002</v>
      </c>
      <c r="M15" s="283">
        <v>2115.6750000000002</v>
      </c>
      <c r="N15" s="284">
        <v>2022.925</v>
      </c>
      <c r="O15" s="283">
        <v>2022.925</v>
      </c>
      <c r="P15" s="283">
        <v>2022.925</v>
      </c>
      <c r="Q15" s="283">
        <v>2022.925</v>
      </c>
      <c r="R15" s="283">
        <v>2022.925</v>
      </c>
      <c r="S15" s="283">
        <v>2022.925</v>
      </c>
      <c r="T15" s="283">
        <v>2022.925</v>
      </c>
      <c r="U15" s="283">
        <v>2022.925</v>
      </c>
      <c r="V15" s="283">
        <v>2022.925</v>
      </c>
      <c r="W15" s="283">
        <v>1793.925</v>
      </c>
      <c r="X15" s="283">
        <v>1793.925</v>
      </c>
      <c r="Y15" s="283">
        <v>2135.5749999999998</v>
      </c>
      <c r="Z15" s="284">
        <v>2180.875</v>
      </c>
    </row>
    <row r="16" spans="1:26" s="329" customFormat="1" ht="10.199999999999999" x14ac:dyDescent="0.2">
      <c r="A16" s="326"/>
      <c r="B16" s="116" t="s">
        <v>155</v>
      </c>
      <c r="C16" s="283">
        <v>1551.375</v>
      </c>
      <c r="D16" s="283">
        <v>1551.375</v>
      </c>
      <c r="E16" s="283">
        <v>1551.375</v>
      </c>
      <c r="F16" s="283">
        <v>1551.375</v>
      </c>
      <c r="G16" s="283">
        <v>1830.825</v>
      </c>
      <c r="H16" s="283">
        <v>2763.3249999999998</v>
      </c>
      <c r="I16" s="283">
        <v>2763.3249999999998</v>
      </c>
      <c r="J16" s="283">
        <v>2763.3249999999998</v>
      </c>
      <c r="K16" s="283">
        <v>2763.3249999999998</v>
      </c>
      <c r="L16" s="283">
        <v>2763.3249999999998</v>
      </c>
      <c r="M16" s="283">
        <v>2712.8249999999998</v>
      </c>
      <c r="N16" s="284">
        <v>2702.4749999999999</v>
      </c>
      <c r="O16" s="283">
        <v>2702.4749999999999</v>
      </c>
      <c r="P16" s="283">
        <v>2702.4749999999999</v>
      </c>
      <c r="Q16" s="283">
        <v>2702.4749999999999</v>
      </c>
      <c r="R16" s="283">
        <v>2702.4749999999999</v>
      </c>
      <c r="S16" s="283">
        <v>2702.4749999999999</v>
      </c>
      <c r="T16" s="283">
        <v>2647.4749999999999</v>
      </c>
      <c r="U16" s="283">
        <v>2647.4749999999999</v>
      </c>
      <c r="V16" s="283">
        <v>2647.4749999999999</v>
      </c>
      <c r="W16" s="283">
        <v>2473.9749999999999</v>
      </c>
      <c r="X16" s="283">
        <v>2473.9749999999999</v>
      </c>
      <c r="Y16" s="283">
        <v>2668.6750000000002</v>
      </c>
      <c r="Z16" s="284">
        <v>2793.875</v>
      </c>
    </row>
    <row r="17" spans="1:26" s="329" customFormat="1" ht="10.199999999999999" x14ac:dyDescent="0.2">
      <c r="A17" s="326"/>
      <c r="B17" s="116" t="s">
        <v>140</v>
      </c>
      <c r="C17" s="283">
        <v>22498.05</v>
      </c>
      <c r="D17" s="283">
        <v>22498.05</v>
      </c>
      <c r="E17" s="283">
        <v>22498.05</v>
      </c>
      <c r="F17" s="283">
        <v>22498.05</v>
      </c>
      <c r="G17" s="283">
        <v>23398.05</v>
      </c>
      <c r="H17" s="283">
        <v>23798.05</v>
      </c>
      <c r="I17" s="283">
        <v>23798.05</v>
      </c>
      <c r="J17" s="283">
        <v>23798.05</v>
      </c>
      <c r="K17" s="283">
        <v>23798.05</v>
      </c>
      <c r="L17" s="283">
        <v>23826.725000000002</v>
      </c>
      <c r="M17" s="283">
        <v>21826.724999999999</v>
      </c>
      <c r="N17" s="284">
        <v>19378.724999999999</v>
      </c>
      <c r="O17" s="283">
        <v>19378.724999999999</v>
      </c>
      <c r="P17" s="283">
        <f>47110.9-23006.775-2022.925-2702.475</f>
        <v>19378.725000000002</v>
      </c>
      <c r="Q17" s="283">
        <f>47110.9-Q14-Q15-Q16</f>
        <v>19378.725000000002</v>
      </c>
      <c r="R17" s="283">
        <f>47110.9-R14-R15-R16</f>
        <v>19378.725000000002</v>
      </c>
      <c r="S17" s="283">
        <f>47110.9-S14-S15-S16</f>
        <v>19378.725000000002</v>
      </c>
      <c r="T17" s="283">
        <f>45110.9-T16-T15-T14</f>
        <v>18378.724999999999</v>
      </c>
      <c r="U17" s="283">
        <f>45110.9-U14-U15-U16</f>
        <v>18378.725000000002</v>
      </c>
      <c r="V17" s="283">
        <f>45110.9-V14-V15-V16</f>
        <v>18378.725000000002</v>
      </c>
      <c r="W17" s="283">
        <f>38610.9-W14-W15-W16</f>
        <v>15778.725</v>
      </c>
      <c r="X17" s="283">
        <f>38610.9-X14-X15-X16</f>
        <v>15778.725</v>
      </c>
      <c r="Y17" s="283">
        <f>47060.9-Y14-Y15-Y16</f>
        <v>15475.825000000001</v>
      </c>
      <c r="Z17" s="284">
        <f>57070-Z14-Z15-Z16-Z13</f>
        <v>16432.649999999998</v>
      </c>
    </row>
    <row r="18" spans="1:26" s="329" customFormat="1" ht="10.199999999999999" x14ac:dyDescent="0.2">
      <c r="A18" s="326">
        <v>3</v>
      </c>
      <c r="B18" s="114" t="s">
        <v>113</v>
      </c>
      <c r="C18" s="271">
        <f t="shared" ref="C18:Y18" si="3">SUM(C19:C23)</f>
        <v>15680</v>
      </c>
      <c r="D18" s="271">
        <f t="shared" si="3"/>
        <v>15680</v>
      </c>
      <c r="E18" s="271">
        <f t="shared" si="3"/>
        <v>15680</v>
      </c>
      <c r="F18" s="271">
        <f t="shared" si="3"/>
        <v>15680</v>
      </c>
      <c r="G18" s="271">
        <f t="shared" si="3"/>
        <v>15679.99</v>
      </c>
      <c r="H18" s="271">
        <f t="shared" si="3"/>
        <v>16586.48</v>
      </c>
      <c r="I18" s="271">
        <f t="shared" si="3"/>
        <v>16586.48</v>
      </c>
      <c r="J18" s="271">
        <f t="shared" si="3"/>
        <v>16586.48</v>
      </c>
      <c r="K18" s="271">
        <f t="shared" si="3"/>
        <v>16586.48</v>
      </c>
      <c r="L18" s="271">
        <f t="shared" si="3"/>
        <v>16586.48</v>
      </c>
      <c r="M18" s="271">
        <f t="shared" si="3"/>
        <v>16586.48</v>
      </c>
      <c r="N18" s="272">
        <f t="shared" si="3"/>
        <v>16586.48</v>
      </c>
      <c r="O18" s="271">
        <f t="shared" si="3"/>
        <v>16586.48</v>
      </c>
      <c r="P18" s="271">
        <f t="shared" si="3"/>
        <v>16586.474999999999</v>
      </c>
      <c r="Q18" s="271">
        <f t="shared" si="3"/>
        <v>16586.479999999996</v>
      </c>
      <c r="R18" s="271">
        <f t="shared" si="3"/>
        <v>16586.48</v>
      </c>
      <c r="S18" s="271">
        <f t="shared" si="3"/>
        <v>16586.48</v>
      </c>
      <c r="T18" s="271">
        <f t="shared" si="3"/>
        <v>16586.48</v>
      </c>
      <c r="U18" s="271">
        <f t="shared" si="3"/>
        <v>16586.48</v>
      </c>
      <c r="V18" s="271">
        <f t="shared" si="3"/>
        <v>16586.48</v>
      </c>
      <c r="W18" s="271">
        <f t="shared" si="3"/>
        <v>16586.48</v>
      </c>
      <c r="X18" s="271">
        <f t="shared" si="3"/>
        <v>16586.48</v>
      </c>
      <c r="Y18" s="271">
        <f t="shared" si="3"/>
        <v>16586.48</v>
      </c>
      <c r="Z18" s="272">
        <f>SUM(Z19:Z23)</f>
        <v>16586.48</v>
      </c>
    </row>
    <row r="19" spans="1:26" s="329" customFormat="1" ht="10.199999999999999" x14ac:dyDescent="0.2">
      <c r="A19" s="326"/>
      <c r="B19" s="116" t="s">
        <v>135</v>
      </c>
      <c r="C19" s="283">
        <v>17.36</v>
      </c>
      <c r="D19" s="283">
        <v>17.36</v>
      </c>
      <c r="E19" s="283">
        <v>17.36</v>
      </c>
      <c r="F19" s="283">
        <v>17.36</v>
      </c>
      <c r="G19" s="283">
        <v>17.36</v>
      </c>
      <c r="H19" s="283">
        <v>17.36</v>
      </c>
      <c r="I19" s="283">
        <v>18.37</v>
      </c>
      <c r="J19" s="283">
        <v>18.37</v>
      </c>
      <c r="K19" s="283">
        <v>18.37</v>
      </c>
      <c r="L19" s="283">
        <v>18.37</v>
      </c>
      <c r="M19" s="283">
        <v>18.37</v>
      </c>
      <c r="N19" s="284">
        <v>18.670000000000002</v>
      </c>
      <c r="O19" s="283">
        <v>18.670000000000002</v>
      </c>
      <c r="P19" s="283">
        <v>18.670000000000002</v>
      </c>
      <c r="Q19" s="283">
        <v>18.670000000000002</v>
      </c>
      <c r="R19" s="283">
        <v>21.37</v>
      </c>
      <c r="S19" s="283">
        <v>21.37</v>
      </c>
      <c r="T19" s="283">
        <v>21.37</v>
      </c>
      <c r="U19" s="283">
        <v>21.37</v>
      </c>
      <c r="V19" s="283">
        <v>21.37</v>
      </c>
      <c r="W19" s="283">
        <v>21.37</v>
      </c>
      <c r="X19" s="283">
        <v>21.37</v>
      </c>
      <c r="Y19" s="283">
        <v>21.37</v>
      </c>
      <c r="Z19" s="284">
        <v>21.37</v>
      </c>
    </row>
    <row r="20" spans="1:26" s="329" customFormat="1" ht="10.199999999999999" x14ac:dyDescent="0.2">
      <c r="A20" s="326"/>
      <c r="B20" s="116" t="s">
        <v>136</v>
      </c>
      <c r="C20" s="283">
        <v>0</v>
      </c>
      <c r="D20" s="283">
        <v>0</v>
      </c>
      <c r="E20" s="283">
        <v>0</v>
      </c>
      <c r="F20" s="283">
        <v>0</v>
      </c>
      <c r="G20" s="283">
        <v>0</v>
      </c>
      <c r="H20" s="283">
        <v>0</v>
      </c>
      <c r="I20" s="283">
        <v>0</v>
      </c>
      <c r="J20" s="283">
        <v>0</v>
      </c>
      <c r="K20" s="283">
        <v>0</v>
      </c>
      <c r="L20" s="283">
        <v>0</v>
      </c>
      <c r="M20" s="283">
        <v>0</v>
      </c>
      <c r="N20" s="284">
        <v>0</v>
      </c>
      <c r="O20" s="283">
        <v>0</v>
      </c>
      <c r="P20" s="283">
        <v>0</v>
      </c>
      <c r="Q20" s="283">
        <v>0</v>
      </c>
      <c r="R20" s="283">
        <v>0</v>
      </c>
      <c r="S20" s="283">
        <v>0</v>
      </c>
      <c r="T20" s="283">
        <v>0</v>
      </c>
      <c r="U20" s="283">
        <v>0</v>
      </c>
      <c r="V20" s="283">
        <v>0</v>
      </c>
      <c r="W20" s="283">
        <v>0</v>
      </c>
      <c r="X20" s="283">
        <v>0</v>
      </c>
      <c r="Y20" s="283">
        <v>0</v>
      </c>
      <c r="Z20" s="284">
        <v>0</v>
      </c>
    </row>
    <row r="21" spans="1:26" s="329" customFormat="1" ht="10.199999999999999" x14ac:dyDescent="0.2">
      <c r="A21" s="326"/>
      <c r="B21" s="116" t="s">
        <v>154</v>
      </c>
      <c r="C21" s="283">
        <v>0</v>
      </c>
      <c r="D21" s="283">
        <v>0</v>
      </c>
      <c r="E21" s="283">
        <v>0</v>
      </c>
      <c r="F21" s="283">
        <v>0</v>
      </c>
      <c r="G21" s="283">
        <v>0</v>
      </c>
      <c r="H21" s="283">
        <v>0</v>
      </c>
      <c r="I21" s="283">
        <v>0</v>
      </c>
      <c r="J21" s="283">
        <v>0</v>
      </c>
      <c r="K21" s="283">
        <v>0</v>
      </c>
      <c r="L21" s="283">
        <v>0</v>
      </c>
      <c r="M21" s="283">
        <v>0</v>
      </c>
      <c r="N21" s="284">
        <v>0</v>
      </c>
      <c r="O21" s="283">
        <v>0</v>
      </c>
      <c r="P21" s="283">
        <v>0</v>
      </c>
      <c r="Q21" s="283">
        <v>0</v>
      </c>
      <c r="R21" s="283">
        <v>0</v>
      </c>
      <c r="S21" s="283">
        <v>0</v>
      </c>
      <c r="T21" s="283">
        <v>0</v>
      </c>
      <c r="U21" s="283">
        <v>0</v>
      </c>
      <c r="V21" s="283">
        <v>0</v>
      </c>
      <c r="W21" s="283">
        <v>0</v>
      </c>
      <c r="X21" s="283">
        <v>0</v>
      </c>
      <c r="Y21" s="283">
        <v>0</v>
      </c>
      <c r="Z21" s="284">
        <v>0</v>
      </c>
    </row>
    <row r="22" spans="1:26" s="329" customFormat="1" ht="10.199999999999999" x14ac:dyDescent="0.2">
      <c r="A22" s="326"/>
      <c r="B22" s="116" t="s">
        <v>155</v>
      </c>
      <c r="C22" s="283">
        <v>0.01</v>
      </c>
      <c r="D22" s="283">
        <v>0.01</v>
      </c>
      <c r="E22" s="283">
        <v>0.01</v>
      </c>
      <c r="F22" s="283">
        <v>0.01</v>
      </c>
      <c r="G22" s="283">
        <v>0</v>
      </c>
      <c r="H22" s="283">
        <v>0.01</v>
      </c>
      <c r="I22" s="283">
        <v>0</v>
      </c>
      <c r="J22" s="283">
        <v>0</v>
      </c>
      <c r="K22" s="283">
        <v>0</v>
      </c>
      <c r="L22" s="283">
        <v>1.5</v>
      </c>
      <c r="M22" s="283">
        <v>0</v>
      </c>
      <c r="N22" s="284">
        <v>0</v>
      </c>
      <c r="O22" s="283">
        <v>0</v>
      </c>
      <c r="P22" s="283">
        <v>0</v>
      </c>
      <c r="Q22" s="283">
        <v>0</v>
      </c>
      <c r="R22" s="283">
        <v>0</v>
      </c>
      <c r="S22" s="283">
        <v>0</v>
      </c>
      <c r="T22" s="283">
        <v>0</v>
      </c>
      <c r="U22" s="283">
        <v>0</v>
      </c>
      <c r="V22" s="283">
        <v>0</v>
      </c>
      <c r="W22" s="283">
        <v>0</v>
      </c>
      <c r="X22" s="283">
        <v>0</v>
      </c>
      <c r="Y22" s="283">
        <v>0</v>
      </c>
      <c r="Z22" s="284">
        <v>0</v>
      </c>
    </row>
    <row r="23" spans="1:26" s="329" customFormat="1" ht="10.199999999999999" x14ac:dyDescent="0.2">
      <c r="A23" s="326"/>
      <c r="B23" s="116" t="s">
        <v>156</v>
      </c>
      <c r="C23" s="283">
        <v>15662.63</v>
      </c>
      <c r="D23" s="283">
        <v>15662.63</v>
      </c>
      <c r="E23" s="283">
        <v>15662.63</v>
      </c>
      <c r="F23" s="283">
        <v>15662.63</v>
      </c>
      <c r="G23" s="283">
        <v>15662.63</v>
      </c>
      <c r="H23" s="283">
        <v>16569.11</v>
      </c>
      <c r="I23" s="283">
        <v>16568.11</v>
      </c>
      <c r="J23" s="283">
        <v>16568.11</v>
      </c>
      <c r="K23" s="283">
        <v>16568.11</v>
      </c>
      <c r="L23" s="283">
        <v>16566.61</v>
      </c>
      <c r="M23" s="283">
        <v>16568.11</v>
      </c>
      <c r="N23" s="284">
        <v>16567.810000000001</v>
      </c>
      <c r="O23" s="283">
        <v>16567.810000000001</v>
      </c>
      <c r="P23" s="283">
        <f>1651.55+14916.255</f>
        <v>16567.805</v>
      </c>
      <c r="Q23" s="283">
        <f>1651.555+14916.255</f>
        <v>16567.809999999998</v>
      </c>
      <c r="R23" s="283">
        <f t="shared" ref="R23:X23" si="4">1648.855+14916.255</f>
        <v>16565.11</v>
      </c>
      <c r="S23" s="283">
        <f t="shared" si="4"/>
        <v>16565.11</v>
      </c>
      <c r="T23" s="283">
        <f t="shared" si="4"/>
        <v>16565.11</v>
      </c>
      <c r="U23" s="283">
        <f t="shared" si="4"/>
        <v>16565.11</v>
      </c>
      <c r="V23" s="283">
        <f t="shared" si="4"/>
        <v>16565.11</v>
      </c>
      <c r="W23" s="283">
        <f t="shared" si="4"/>
        <v>16565.11</v>
      </c>
      <c r="X23" s="283">
        <f t="shared" si="4"/>
        <v>16565.11</v>
      </c>
      <c r="Y23" s="283">
        <f>1648.855+14916.255</f>
        <v>16565.11</v>
      </c>
      <c r="Z23" s="284">
        <f>1648.855+14916.255</f>
        <v>16565.11</v>
      </c>
    </row>
    <row r="24" spans="1:26" s="329" customFormat="1" ht="10.199999999999999" x14ac:dyDescent="0.2">
      <c r="A24" s="326">
        <v>4</v>
      </c>
      <c r="B24" s="114" t="s">
        <v>114</v>
      </c>
      <c r="C24" s="271">
        <f t="shared" ref="C24:Y24" si="5">SUM(C25:C29)</f>
        <v>3183.8069999999998</v>
      </c>
      <c r="D24" s="271">
        <f t="shared" si="5"/>
        <v>3183.8069999999998</v>
      </c>
      <c r="E24" s="271">
        <f t="shared" si="5"/>
        <v>3183.8070000000002</v>
      </c>
      <c r="F24" s="271">
        <f t="shared" si="5"/>
        <v>3183.8070000000002</v>
      </c>
      <c r="G24" s="271">
        <f t="shared" si="5"/>
        <v>3183.8070000000002</v>
      </c>
      <c r="H24" s="271">
        <f t="shared" si="5"/>
        <v>2483.8069999999998</v>
      </c>
      <c r="I24" s="271">
        <f t="shared" si="5"/>
        <v>2483.8069999999998</v>
      </c>
      <c r="J24" s="271">
        <f t="shared" si="5"/>
        <v>2483.8069999999998</v>
      </c>
      <c r="K24" s="271">
        <f t="shared" si="5"/>
        <v>2483.7669999999998</v>
      </c>
      <c r="L24" s="271">
        <f t="shared" si="5"/>
        <v>2483.8070000000002</v>
      </c>
      <c r="M24" s="271">
        <f t="shared" si="5"/>
        <v>2483.8070000000002</v>
      </c>
      <c r="N24" s="272">
        <f t="shared" si="5"/>
        <v>1516.7459999999999</v>
      </c>
      <c r="O24" s="271">
        <f t="shared" si="5"/>
        <v>1516.7459999999999</v>
      </c>
      <c r="P24" s="330">
        <f t="shared" si="5"/>
        <v>1516.7459999999999</v>
      </c>
      <c r="Q24" s="330">
        <f t="shared" si="5"/>
        <v>1516.7459999999999</v>
      </c>
      <c r="R24" s="271">
        <f t="shared" si="5"/>
        <v>1216.7459999999999</v>
      </c>
      <c r="S24" s="271">
        <f t="shared" si="5"/>
        <v>1216.7460000000001</v>
      </c>
      <c r="T24" s="271">
        <f t="shared" si="5"/>
        <v>716.74599999999998</v>
      </c>
      <c r="U24" s="271">
        <f t="shared" si="5"/>
        <v>716.74599999999998</v>
      </c>
      <c r="V24" s="271">
        <f t="shared" si="5"/>
        <v>716.74599999999998</v>
      </c>
      <c r="W24" s="271">
        <f t="shared" si="5"/>
        <v>716.74599999999998</v>
      </c>
      <c r="X24" s="271">
        <f t="shared" si="5"/>
        <v>716.74599999999998</v>
      </c>
      <c r="Y24" s="271">
        <f t="shared" si="5"/>
        <v>716.74599999999998</v>
      </c>
      <c r="Z24" s="272">
        <f>SUM(Z25:Z29)</f>
        <v>3056.1660000000002</v>
      </c>
    </row>
    <row r="25" spans="1:26" s="329" customFormat="1" ht="10.199999999999999" x14ac:dyDescent="0.2">
      <c r="A25" s="326"/>
      <c r="B25" s="116" t="s">
        <v>141</v>
      </c>
      <c r="C25" s="283">
        <v>2412.0479999999998</v>
      </c>
      <c r="D25" s="283">
        <v>2412.748</v>
      </c>
      <c r="E25" s="283">
        <v>2412.748</v>
      </c>
      <c r="F25" s="283">
        <v>2412.748</v>
      </c>
      <c r="G25" s="283">
        <v>2412.748</v>
      </c>
      <c r="H25" s="283">
        <v>1855.932</v>
      </c>
      <c r="I25" s="283">
        <v>1864.0319999999999</v>
      </c>
      <c r="J25" s="283">
        <v>1864.0319999999999</v>
      </c>
      <c r="K25" s="283">
        <v>1864.877</v>
      </c>
      <c r="L25" s="331">
        <v>1865.7170000000001</v>
      </c>
      <c r="M25" s="283">
        <v>1865.7170000000001</v>
      </c>
      <c r="N25" s="284">
        <v>1265.3579999999999</v>
      </c>
      <c r="O25" s="283">
        <v>1266.6679999999999</v>
      </c>
      <c r="P25" s="283">
        <v>1266.6679999999999</v>
      </c>
      <c r="Q25" s="283">
        <v>1266.6679999999999</v>
      </c>
      <c r="R25" s="283">
        <v>974.89099999999996</v>
      </c>
      <c r="S25" s="283">
        <v>974.89099999999996</v>
      </c>
      <c r="T25" s="283">
        <v>507.59699999999998</v>
      </c>
      <c r="U25" s="283">
        <v>507.59699999999998</v>
      </c>
      <c r="V25" s="283">
        <v>507.59699999999998</v>
      </c>
      <c r="W25" s="283">
        <v>507.59699999999998</v>
      </c>
      <c r="X25" s="283">
        <v>507.59699999999998</v>
      </c>
      <c r="Y25" s="283">
        <v>507.59699999999998</v>
      </c>
      <c r="Z25" s="284">
        <v>507.59699999999998</v>
      </c>
    </row>
    <row r="26" spans="1:26" s="329" customFormat="1" ht="10.199999999999999" x14ac:dyDescent="0.2">
      <c r="A26" s="326"/>
      <c r="B26" s="116" t="s">
        <v>136</v>
      </c>
      <c r="C26" s="283">
        <v>0</v>
      </c>
      <c r="D26" s="283">
        <v>0</v>
      </c>
      <c r="E26" s="283">
        <v>0</v>
      </c>
      <c r="F26" s="283">
        <v>0</v>
      </c>
      <c r="G26" s="283">
        <v>0</v>
      </c>
      <c r="H26" s="283">
        <v>0</v>
      </c>
      <c r="I26" s="283">
        <v>0</v>
      </c>
      <c r="J26" s="283">
        <v>0</v>
      </c>
      <c r="K26" s="283">
        <v>0</v>
      </c>
      <c r="L26" s="283">
        <v>0</v>
      </c>
      <c r="M26" s="283">
        <v>0</v>
      </c>
      <c r="N26" s="284">
        <v>0</v>
      </c>
      <c r="O26" s="283">
        <v>0</v>
      </c>
      <c r="P26" s="283">
        <v>0</v>
      </c>
      <c r="Q26" s="283">
        <v>0</v>
      </c>
      <c r="R26" s="283">
        <v>0</v>
      </c>
      <c r="S26" s="283">
        <v>0</v>
      </c>
      <c r="T26" s="283">
        <v>0</v>
      </c>
      <c r="U26" s="283">
        <v>0</v>
      </c>
      <c r="V26" s="283">
        <v>0</v>
      </c>
      <c r="W26" s="283">
        <v>0</v>
      </c>
      <c r="X26" s="283">
        <v>0</v>
      </c>
      <c r="Y26" s="283">
        <v>0</v>
      </c>
      <c r="Z26" s="284">
        <v>0</v>
      </c>
    </row>
    <row r="27" spans="1:26" s="329" customFormat="1" ht="10.199999999999999" x14ac:dyDescent="0.2">
      <c r="A27" s="326"/>
      <c r="B27" s="116" t="s">
        <v>154</v>
      </c>
      <c r="C27" s="297">
        <v>0</v>
      </c>
      <c r="D27" s="297">
        <v>0</v>
      </c>
      <c r="E27" s="297">
        <v>0</v>
      </c>
      <c r="F27" s="297">
        <v>0</v>
      </c>
      <c r="G27" s="297">
        <v>0</v>
      </c>
      <c r="H27" s="297">
        <v>0</v>
      </c>
      <c r="I27" s="297">
        <v>0</v>
      </c>
      <c r="J27" s="297">
        <v>0</v>
      </c>
      <c r="K27" s="297">
        <v>0</v>
      </c>
      <c r="L27" s="297">
        <v>0</v>
      </c>
      <c r="M27" s="297">
        <v>0</v>
      </c>
      <c r="N27" s="298">
        <v>0</v>
      </c>
      <c r="O27" s="297">
        <v>0</v>
      </c>
      <c r="P27" s="297">
        <v>0</v>
      </c>
      <c r="Q27" s="297">
        <v>0</v>
      </c>
      <c r="R27" s="297">
        <v>0</v>
      </c>
      <c r="S27" s="297">
        <v>0</v>
      </c>
      <c r="T27" s="297">
        <v>0</v>
      </c>
      <c r="U27" s="297">
        <v>0</v>
      </c>
      <c r="V27" s="297">
        <v>0</v>
      </c>
      <c r="W27" s="297">
        <v>0</v>
      </c>
      <c r="X27" s="297">
        <v>0</v>
      </c>
      <c r="Y27" s="283">
        <v>0</v>
      </c>
      <c r="Z27" s="284">
        <v>0</v>
      </c>
    </row>
    <row r="28" spans="1:26" s="329" customFormat="1" ht="10.199999999999999" x14ac:dyDescent="0.2">
      <c r="A28" s="326"/>
      <c r="B28" s="116" t="s">
        <v>155</v>
      </c>
      <c r="C28" s="297">
        <v>18.584</v>
      </c>
      <c r="D28" s="283">
        <v>18.584</v>
      </c>
      <c r="E28" s="283">
        <v>23.184000000000001</v>
      </c>
      <c r="F28" s="283">
        <v>18.864000000000001</v>
      </c>
      <c r="G28" s="283">
        <v>15.864000000000001</v>
      </c>
      <c r="H28" s="297">
        <v>9.5389999999999997</v>
      </c>
      <c r="I28" s="297">
        <v>14.609</v>
      </c>
      <c r="J28" s="297">
        <v>14.808999999999999</v>
      </c>
      <c r="K28" s="297">
        <v>16.009</v>
      </c>
      <c r="L28" s="297">
        <v>18.009</v>
      </c>
      <c r="M28" s="297">
        <v>21.009</v>
      </c>
      <c r="N28" s="298">
        <v>6.3490000000000002</v>
      </c>
      <c r="O28" s="297">
        <v>6.8490000000000002</v>
      </c>
      <c r="P28" s="297">
        <v>6.8490000000000002</v>
      </c>
      <c r="Q28" s="297">
        <v>6.8490000000000002</v>
      </c>
      <c r="R28" s="297">
        <v>0</v>
      </c>
      <c r="S28" s="297">
        <v>0</v>
      </c>
      <c r="T28" s="297">
        <v>0</v>
      </c>
      <c r="U28" s="297">
        <v>0</v>
      </c>
      <c r="V28" s="297">
        <v>0</v>
      </c>
      <c r="W28" s="297">
        <v>0</v>
      </c>
      <c r="X28" s="297">
        <v>0</v>
      </c>
      <c r="Y28" s="283">
        <v>0</v>
      </c>
      <c r="Z28" s="284">
        <v>0</v>
      </c>
    </row>
    <row r="29" spans="1:26" s="329" customFormat="1" ht="10.199999999999999" x14ac:dyDescent="0.2">
      <c r="A29" s="326"/>
      <c r="B29" s="116" t="s">
        <v>156</v>
      </c>
      <c r="C29" s="297">
        <v>753.17499999999995</v>
      </c>
      <c r="D29" s="283">
        <v>752.47500000000002</v>
      </c>
      <c r="E29" s="283">
        <v>747.875</v>
      </c>
      <c r="F29" s="283">
        <v>752.19500000000005</v>
      </c>
      <c r="G29" s="283">
        <v>755.19500000000005</v>
      </c>
      <c r="H29" s="297">
        <v>618.33600000000001</v>
      </c>
      <c r="I29" s="297">
        <v>605.16600000000005</v>
      </c>
      <c r="J29" s="297">
        <v>604.96600000000001</v>
      </c>
      <c r="K29" s="297">
        <v>602.88099999999997</v>
      </c>
      <c r="L29" s="297">
        <v>600.08100000000002</v>
      </c>
      <c r="M29" s="297">
        <v>597.08100000000002</v>
      </c>
      <c r="N29" s="298">
        <v>245.03899999999999</v>
      </c>
      <c r="O29" s="297">
        <v>243.22900000000001</v>
      </c>
      <c r="P29" s="297">
        <v>243.22900000000001</v>
      </c>
      <c r="Q29" s="297">
        <v>243.22900000000001</v>
      </c>
      <c r="R29" s="297">
        <f>234.581+7.274</f>
        <v>241.85499999999999</v>
      </c>
      <c r="S29" s="297">
        <f>235.281+6.574</f>
        <v>241.85500000000002</v>
      </c>
      <c r="T29" s="297">
        <f t="shared" ref="T29:Y29" si="6">204.649+4.5</f>
        <v>209.149</v>
      </c>
      <c r="U29" s="297">
        <f t="shared" si="6"/>
        <v>209.149</v>
      </c>
      <c r="V29" s="297">
        <f t="shared" si="6"/>
        <v>209.149</v>
      </c>
      <c r="W29" s="297">
        <f t="shared" si="6"/>
        <v>209.149</v>
      </c>
      <c r="X29" s="297">
        <f t="shared" si="6"/>
        <v>209.149</v>
      </c>
      <c r="Y29" s="283">
        <f t="shared" si="6"/>
        <v>209.149</v>
      </c>
      <c r="Z29" s="284">
        <f>2544.079+4.49</f>
        <v>2548.569</v>
      </c>
    </row>
    <row r="30" spans="1:26" s="329" customFormat="1" ht="10.199999999999999" x14ac:dyDescent="0.2">
      <c r="A30" s="326">
        <v>5</v>
      </c>
      <c r="B30" s="114" t="s">
        <v>157</v>
      </c>
      <c r="C30" s="297">
        <f t="shared" ref="C30:Y30" si="7">SUM(C31:C32)</f>
        <v>58.894999999999996</v>
      </c>
      <c r="D30" s="283">
        <f t="shared" si="7"/>
        <v>58.894999999999996</v>
      </c>
      <c r="E30" s="283">
        <f t="shared" si="7"/>
        <v>58.894999999999996</v>
      </c>
      <c r="F30" s="283">
        <f t="shared" si="7"/>
        <v>58.894999999999996</v>
      </c>
      <c r="G30" s="283">
        <f t="shared" si="7"/>
        <v>58.894999999999996</v>
      </c>
      <c r="H30" s="297">
        <f t="shared" si="7"/>
        <v>85.31</v>
      </c>
      <c r="I30" s="297">
        <f t="shared" si="7"/>
        <v>85.300000000000011</v>
      </c>
      <c r="J30" s="297">
        <f t="shared" si="7"/>
        <v>85.300000000000011</v>
      </c>
      <c r="K30" s="297">
        <f t="shared" si="7"/>
        <v>135.35</v>
      </c>
      <c r="L30" s="297">
        <f t="shared" si="7"/>
        <v>135.31</v>
      </c>
      <c r="M30" s="297">
        <f t="shared" si="7"/>
        <v>135.31</v>
      </c>
      <c r="N30" s="298">
        <f t="shared" si="7"/>
        <v>135.31</v>
      </c>
      <c r="O30" s="332">
        <f t="shared" si="7"/>
        <v>135.31</v>
      </c>
      <c r="P30" s="332">
        <f t="shared" si="7"/>
        <v>135.31</v>
      </c>
      <c r="Q30" s="332">
        <f t="shared" si="7"/>
        <v>135.31</v>
      </c>
      <c r="R30" s="332">
        <f t="shared" si="7"/>
        <v>135.31</v>
      </c>
      <c r="S30" s="332">
        <f t="shared" si="7"/>
        <v>135.31</v>
      </c>
      <c r="T30" s="332">
        <f t="shared" si="7"/>
        <v>135.31</v>
      </c>
      <c r="U30" s="332">
        <f t="shared" si="7"/>
        <v>135.31</v>
      </c>
      <c r="V30" s="332">
        <f t="shared" si="7"/>
        <v>135.31</v>
      </c>
      <c r="W30" s="332">
        <f t="shared" si="7"/>
        <v>135.31</v>
      </c>
      <c r="X30" s="332">
        <f t="shared" si="7"/>
        <v>135.315</v>
      </c>
      <c r="Y30" s="332">
        <f t="shared" si="7"/>
        <v>135.31</v>
      </c>
      <c r="Z30" s="333">
        <f>SUM(Z31:Z32)</f>
        <v>215.02499999999998</v>
      </c>
    </row>
    <row r="31" spans="1:26" s="329" customFormat="1" ht="10.199999999999999" x14ac:dyDescent="0.2">
      <c r="A31" s="326"/>
      <c r="B31" s="116" t="s">
        <v>135</v>
      </c>
      <c r="C31" s="297">
        <v>0.01</v>
      </c>
      <c r="D31" s="283">
        <v>0.01</v>
      </c>
      <c r="E31" s="283">
        <v>0.01</v>
      </c>
      <c r="F31" s="283">
        <v>0.01</v>
      </c>
      <c r="G31" s="283">
        <v>0.01</v>
      </c>
      <c r="H31" s="297">
        <v>0.01</v>
      </c>
      <c r="I31" s="297">
        <v>0.04</v>
      </c>
      <c r="J31" s="297">
        <v>0.04</v>
      </c>
      <c r="K31" s="297">
        <v>0.04</v>
      </c>
      <c r="L31" s="297">
        <v>0.04</v>
      </c>
      <c r="M31" s="297">
        <v>0.04</v>
      </c>
      <c r="N31" s="298">
        <v>0.04</v>
      </c>
      <c r="O31" s="297">
        <v>0.05</v>
      </c>
      <c r="P31" s="297">
        <v>0.05</v>
      </c>
      <c r="Q31" s="297">
        <v>0.05</v>
      </c>
      <c r="R31" s="297">
        <v>0.05</v>
      </c>
      <c r="S31" s="297">
        <v>0.05</v>
      </c>
      <c r="T31" s="297">
        <v>0.05</v>
      </c>
      <c r="U31" s="297">
        <v>0.05</v>
      </c>
      <c r="V31" s="297">
        <v>0.05</v>
      </c>
      <c r="W31" s="297">
        <v>0.05</v>
      </c>
      <c r="X31" s="297">
        <v>5.5E-2</v>
      </c>
      <c r="Y31" s="297">
        <v>5.5E-2</v>
      </c>
      <c r="Z31" s="298">
        <v>1.4999999999999999E-2</v>
      </c>
    </row>
    <row r="32" spans="1:26" s="329" customFormat="1" ht="10.199999999999999" x14ac:dyDescent="0.2">
      <c r="A32" s="326"/>
      <c r="B32" s="116" t="s">
        <v>158</v>
      </c>
      <c r="C32" s="297">
        <v>58.884999999999998</v>
      </c>
      <c r="D32" s="283">
        <v>58.884999999999998</v>
      </c>
      <c r="E32" s="283">
        <v>58.884999999999998</v>
      </c>
      <c r="F32" s="283">
        <v>58.884999999999998</v>
      </c>
      <c r="G32" s="283">
        <v>58.884999999999998</v>
      </c>
      <c r="H32" s="297">
        <v>85.3</v>
      </c>
      <c r="I32" s="297">
        <v>85.26</v>
      </c>
      <c r="J32" s="297">
        <v>85.26</v>
      </c>
      <c r="K32" s="297">
        <v>135.31</v>
      </c>
      <c r="L32" s="297">
        <v>135.27000000000001</v>
      </c>
      <c r="M32" s="297">
        <v>135.27000000000001</v>
      </c>
      <c r="N32" s="298">
        <v>135.27000000000001</v>
      </c>
      <c r="O32" s="297">
        <v>135.26</v>
      </c>
      <c r="P32" s="297">
        <v>135.26</v>
      </c>
      <c r="Q32" s="297">
        <v>135.26</v>
      </c>
      <c r="R32" s="297">
        <v>135.26</v>
      </c>
      <c r="S32" s="297">
        <v>135.26</v>
      </c>
      <c r="T32" s="297">
        <v>135.26</v>
      </c>
      <c r="U32" s="297">
        <v>135.26</v>
      </c>
      <c r="V32" s="297">
        <v>135.26</v>
      </c>
      <c r="W32" s="297">
        <v>135.26</v>
      </c>
      <c r="X32" s="297">
        <v>135.26</v>
      </c>
      <c r="Y32" s="297">
        <v>135.255</v>
      </c>
      <c r="Z32" s="298">
        <v>215.01</v>
      </c>
    </row>
    <row r="33" spans="1:26" s="329" customFormat="1" ht="10.199999999999999" x14ac:dyDescent="0.2">
      <c r="A33" s="326">
        <v>6</v>
      </c>
      <c r="B33" s="114" t="s">
        <v>115</v>
      </c>
      <c r="C33" s="297">
        <f t="shared" ref="C33:Y33" si="8">SUM(C34:C36)</f>
        <v>0</v>
      </c>
      <c r="D33" s="283">
        <f t="shared" si="8"/>
        <v>0</v>
      </c>
      <c r="E33" s="283">
        <f t="shared" si="8"/>
        <v>0</v>
      </c>
      <c r="F33" s="283">
        <f t="shared" si="8"/>
        <v>0</v>
      </c>
      <c r="G33" s="283">
        <f t="shared" si="8"/>
        <v>0</v>
      </c>
      <c r="H33" s="297">
        <f t="shared" si="8"/>
        <v>0</v>
      </c>
      <c r="I33" s="297">
        <f t="shared" si="8"/>
        <v>0</v>
      </c>
      <c r="J33" s="297">
        <f t="shared" si="8"/>
        <v>0</v>
      </c>
      <c r="K33" s="297">
        <f t="shared" si="8"/>
        <v>0</v>
      </c>
      <c r="L33" s="297">
        <f t="shared" si="8"/>
        <v>0</v>
      </c>
      <c r="M33" s="297">
        <f t="shared" si="8"/>
        <v>0</v>
      </c>
      <c r="N33" s="298">
        <f t="shared" si="8"/>
        <v>0</v>
      </c>
      <c r="O33" s="332">
        <f t="shared" si="8"/>
        <v>0</v>
      </c>
      <c r="P33" s="332">
        <f t="shared" si="8"/>
        <v>0</v>
      </c>
      <c r="Q33" s="332">
        <f t="shared" si="8"/>
        <v>0</v>
      </c>
      <c r="R33" s="332">
        <f t="shared" si="8"/>
        <v>0</v>
      </c>
      <c r="S33" s="332">
        <f t="shared" si="8"/>
        <v>0</v>
      </c>
      <c r="T33" s="332">
        <f t="shared" si="8"/>
        <v>0</v>
      </c>
      <c r="U33" s="332">
        <f t="shared" si="8"/>
        <v>0</v>
      </c>
      <c r="V33" s="332">
        <f t="shared" si="8"/>
        <v>0</v>
      </c>
      <c r="W33" s="332">
        <f t="shared" si="8"/>
        <v>0</v>
      </c>
      <c r="X33" s="332">
        <f t="shared" si="8"/>
        <v>0</v>
      </c>
      <c r="Y33" s="332">
        <f t="shared" si="8"/>
        <v>0</v>
      </c>
      <c r="Z33" s="333">
        <f>SUM(Z34:Z36)</f>
        <v>0</v>
      </c>
    </row>
    <row r="34" spans="1:26" s="329" customFormat="1" ht="10.199999999999999" x14ac:dyDescent="0.2">
      <c r="A34" s="326"/>
      <c r="B34" s="116" t="s">
        <v>135</v>
      </c>
      <c r="C34" s="297">
        <v>0</v>
      </c>
      <c r="D34" s="283">
        <v>0</v>
      </c>
      <c r="E34" s="283">
        <v>0</v>
      </c>
      <c r="F34" s="283">
        <v>0</v>
      </c>
      <c r="G34" s="283">
        <v>0</v>
      </c>
      <c r="H34" s="297">
        <v>0</v>
      </c>
      <c r="I34" s="297">
        <v>0</v>
      </c>
      <c r="J34" s="297">
        <v>0</v>
      </c>
      <c r="K34" s="297">
        <v>0</v>
      </c>
      <c r="L34" s="297">
        <v>0</v>
      </c>
      <c r="M34" s="297">
        <v>0</v>
      </c>
      <c r="N34" s="298">
        <v>0</v>
      </c>
      <c r="O34" s="297">
        <v>0</v>
      </c>
      <c r="P34" s="297">
        <v>0</v>
      </c>
      <c r="Q34" s="297">
        <v>0</v>
      </c>
      <c r="R34" s="297">
        <v>0</v>
      </c>
      <c r="S34" s="297">
        <v>0</v>
      </c>
      <c r="T34" s="297">
        <v>0</v>
      </c>
      <c r="U34" s="297">
        <v>0</v>
      </c>
      <c r="V34" s="297">
        <v>0</v>
      </c>
      <c r="W34" s="297">
        <v>0</v>
      </c>
      <c r="X34" s="297">
        <v>0</v>
      </c>
      <c r="Y34" s="297">
        <v>0</v>
      </c>
      <c r="Z34" s="298">
        <v>0</v>
      </c>
    </row>
    <row r="35" spans="1:26" s="329" customFormat="1" ht="10.199999999999999" x14ac:dyDescent="0.2">
      <c r="A35" s="326"/>
      <c r="B35" s="116" t="s">
        <v>159</v>
      </c>
      <c r="C35" s="283">
        <v>0</v>
      </c>
      <c r="D35" s="283">
        <v>0</v>
      </c>
      <c r="E35" s="283">
        <v>0</v>
      </c>
      <c r="F35" s="283">
        <v>0</v>
      </c>
      <c r="G35" s="283">
        <v>0</v>
      </c>
      <c r="H35" s="283">
        <v>0</v>
      </c>
      <c r="I35" s="283">
        <v>0</v>
      </c>
      <c r="J35" s="283">
        <v>0</v>
      </c>
      <c r="K35" s="283">
        <v>0</v>
      </c>
      <c r="L35" s="283">
        <v>0</v>
      </c>
      <c r="M35" s="297">
        <v>0</v>
      </c>
      <c r="N35" s="298">
        <v>0</v>
      </c>
      <c r="O35" s="297">
        <v>0</v>
      </c>
      <c r="P35" s="297">
        <v>0</v>
      </c>
      <c r="Q35" s="297">
        <v>0</v>
      </c>
      <c r="R35" s="297">
        <v>0</v>
      </c>
      <c r="S35" s="297">
        <v>0</v>
      </c>
      <c r="T35" s="297">
        <v>0</v>
      </c>
      <c r="U35" s="297">
        <v>0</v>
      </c>
      <c r="V35" s="297">
        <v>0</v>
      </c>
      <c r="W35" s="297">
        <v>0</v>
      </c>
      <c r="X35" s="297">
        <v>0</v>
      </c>
      <c r="Y35" s="297">
        <v>0</v>
      </c>
      <c r="Z35" s="298">
        <v>0</v>
      </c>
    </row>
    <row r="36" spans="1:26" s="329" customFormat="1" ht="10.199999999999999" x14ac:dyDescent="0.2">
      <c r="A36" s="326"/>
      <c r="B36" s="116" t="s">
        <v>140</v>
      </c>
      <c r="C36" s="283">
        <v>0</v>
      </c>
      <c r="D36" s="283">
        <v>0</v>
      </c>
      <c r="E36" s="283">
        <v>0</v>
      </c>
      <c r="F36" s="283">
        <v>0</v>
      </c>
      <c r="G36" s="283">
        <v>0</v>
      </c>
      <c r="H36" s="283">
        <v>0</v>
      </c>
      <c r="I36" s="283">
        <v>0</v>
      </c>
      <c r="J36" s="283">
        <v>0</v>
      </c>
      <c r="K36" s="283">
        <v>0</v>
      </c>
      <c r="L36" s="283">
        <v>0</v>
      </c>
      <c r="M36" s="297">
        <v>0</v>
      </c>
      <c r="N36" s="284">
        <v>0</v>
      </c>
      <c r="O36" s="283">
        <v>0</v>
      </c>
      <c r="P36" s="283">
        <v>0</v>
      </c>
      <c r="Q36" s="283">
        <v>0</v>
      </c>
      <c r="R36" s="283">
        <v>0</v>
      </c>
      <c r="S36" s="283">
        <v>0</v>
      </c>
      <c r="T36" s="283">
        <v>0</v>
      </c>
      <c r="U36" s="283">
        <v>0</v>
      </c>
      <c r="V36" s="283">
        <v>0</v>
      </c>
      <c r="W36" s="283">
        <v>0</v>
      </c>
      <c r="X36" s="283">
        <v>0</v>
      </c>
      <c r="Y36" s="297">
        <v>0</v>
      </c>
      <c r="Z36" s="298">
        <v>0</v>
      </c>
    </row>
    <row r="37" spans="1:26" s="329" customFormat="1" ht="10.199999999999999" x14ac:dyDescent="0.2">
      <c r="A37" s="326">
        <v>7</v>
      </c>
      <c r="B37" s="114" t="s">
        <v>146</v>
      </c>
      <c r="C37" s="271">
        <f t="shared" ref="C37:Z37" si="9">C38</f>
        <v>-36333.5</v>
      </c>
      <c r="D37" s="271">
        <f t="shared" si="9"/>
        <v>-37027.5</v>
      </c>
      <c r="E37" s="271">
        <f t="shared" si="9"/>
        <v>-34605.5</v>
      </c>
      <c r="F37" s="271">
        <f t="shared" si="9"/>
        <v>-46942.2</v>
      </c>
      <c r="G37" s="271">
        <f t="shared" si="9"/>
        <v>-52511.4</v>
      </c>
      <c r="H37" s="271">
        <f t="shared" si="9"/>
        <v>-77824.399999999994</v>
      </c>
      <c r="I37" s="271">
        <f t="shared" si="9"/>
        <v>-71896.7</v>
      </c>
      <c r="J37" s="271">
        <f t="shared" si="9"/>
        <v>-82347.3</v>
      </c>
      <c r="K37" s="271">
        <f t="shared" si="9"/>
        <v>-86916.7</v>
      </c>
      <c r="L37" s="271">
        <f t="shared" si="9"/>
        <v>-83750.3</v>
      </c>
      <c r="M37" s="271">
        <f t="shared" si="9"/>
        <v>-79523.600000000006</v>
      </c>
      <c r="N37" s="272">
        <f t="shared" si="9"/>
        <v>-23500.799999999999</v>
      </c>
      <c r="O37" s="271">
        <f t="shared" si="9"/>
        <v>-51763.7</v>
      </c>
      <c r="P37" s="271">
        <f t="shared" si="9"/>
        <v>-67949.8</v>
      </c>
      <c r="Q37" s="271">
        <f t="shared" si="9"/>
        <v>-62882.7</v>
      </c>
      <c r="R37" s="271">
        <f t="shared" si="9"/>
        <v>-70893.8</v>
      </c>
      <c r="S37" s="271">
        <f t="shared" si="9"/>
        <v>-75463.7</v>
      </c>
      <c r="T37" s="271">
        <f t="shared" si="9"/>
        <v>-95656.6</v>
      </c>
      <c r="U37" s="271">
        <f t="shared" si="9"/>
        <v>-95795.3</v>
      </c>
      <c r="V37" s="271">
        <f t="shared" si="9"/>
        <v>-81026.8</v>
      </c>
      <c r="W37" s="271">
        <f t="shared" si="9"/>
        <v>-92792.1</v>
      </c>
      <c r="X37" s="271">
        <f t="shared" si="9"/>
        <v>-85852.5</v>
      </c>
      <c r="Y37" s="271">
        <f t="shared" si="9"/>
        <v>-80884.800000000003</v>
      </c>
      <c r="Z37" s="272">
        <f t="shared" si="9"/>
        <v>-41078.1</v>
      </c>
    </row>
    <row r="38" spans="1:26" s="329" customFormat="1" ht="10.199999999999999" x14ac:dyDescent="0.2">
      <c r="A38" s="326"/>
      <c r="B38" s="116" t="s">
        <v>160</v>
      </c>
      <c r="C38" s="303">
        <v>-36333.5</v>
      </c>
      <c r="D38" s="303">
        <v>-37027.5</v>
      </c>
      <c r="E38" s="303">
        <v>-34605.5</v>
      </c>
      <c r="F38" s="303">
        <v>-46942.2</v>
      </c>
      <c r="G38" s="303">
        <v>-52511.4</v>
      </c>
      <c r="H38" s="303">
        <v>-77824.399999999994</v>
      </c>
      <c r="I38" s="303">
        <v>-71896.7</v>
      </c>
      <c r="J38" s="303">
        <v>-82347.3</v>
      </c>
      <c r="K38" s="303">
        <v>-86916.7</v>
      </c>
      <c r="L38" s="303">
        <v>-83750.3</v>
      </c>
      <c r="M38" s="303">
        <v>-79523.600000000006</v>
      </c>
      <c r="N38" s="334">
        <v>-23500.799999999999</v>
      </c>
      <c r="O38" s="335">
        <v>-51763.7</v>
      </c>
      <c r="P38" s="335">
        <v>-67949.8</v>
      </c>
      <c r="Q38" s="335">
        <v>-62882.7</v>
      </c>
      <c r="R38" s="335">
        <v>-70893.8</v>
      </c>
      <c r="S38" s="335">
        <v>-75463.7</v>
      </c>
      <c r="T38" s="335">
        <v>-95656.6</v>
      </c>
      <c r="U38" s="335">
        <v>-95795.3</v>
      </c>
      <c r="V38" s="335">
        <v>-81026.8</v>
      </c>
      <c r="W38" s="335">
        <v>-92792.1</v>
      </c>
      <c r="X38" s="335">
        <f>-(62351.7+23500.8)</f>
        <v>-85852.5</v>
      </c>
      <c r="Y38" s="335">
        <v>-80884.800000000003</v>
      </c>
      <c r="Z38" s="336">
        <v>-41078.1</v>
      </c>
    </row>
    <row r="39" spans="1:26" s="329" customFormat="1" ht="10.199999999999999" x14ac:dyDescent="0.2">
      <c r="A39" s="326"/>
      <c r="B39" s="114" t="s">
        <v>147</v>
      </c>
      <c r="C39" s="271">
        <f t="shared" ref="C39:Y39" si="10">SUM(C40:C44)</f>
        <v>170668.20899999997</v>
      </c>
      <c r="D39" s="271">
        <f t="shared" si="10"/>
        <v>169974.209</v>
      </c>
      <c r="E39" s="271">
        <f t="shared" si="10"/>
        <v>172396.20900000003</v>
      </c>
      <c r="F39" s="271">
        <f t="shared" si="10"/>
        <v>160059.50899999999</v>
      </c>
      <c r="G39" s="271">
        <f t="shared" si="10"/>
        <v>157490.299</v>
      </c>
      <c r="H39" s="271">
        <f t="shared" si="10"/>
        <v>134910.204</v>
      </c>
      <c r="I39" s="271">
        <f t="shared" si="10"/>
        <v>140837.89399999997</v>
      </c>
      <c r="J39" s="271">
        <f t="shared" si="10"/>
        <v>130387.29399999997</v>
      </c>
      <c r="K39" s="271">
        <f t="shared" si="10"/>
        <v>125867.90400000001</v>
      </c>
      <c r="L39" s="271">
        <f t="shared" si="10"/>
        <v>129034.30299999999</v>
      </c>
      <c r="M39" s="271">
        <f t="shared" si="10"/>
        <v>128261.00299999997</v>
      </c>
      <c r="N39" s="272">
        <f t="shared" si="10"/>
        <v>178316.74300000002</v>
      </c>
      <c r="O39" s="271">
        <f t="shared" si="10"/>
        <v>150053.84299999999</v>
      </c>
      <c r="P39" s="271">
        <f t="shared" si="10"/>
        <v>133867.73799999998</v>
      </c>
      <c r="Q39" s="271">
        <f t="shared" si="10"/>
        <v>138934.84299999999</v>
      </c>
      <c r="R39" s="271">
        <f t="shared" si="10"/>
        <v>130623.74300000002</v>
      </c>
      <c r="S39" s="271">
        <f t="shared" si="10"/>
        <v>119553.84300000002</v>
      </c>
      <c r="T39" s="271">
        <f t="shared" si="10"/>
        <v>93860.942999999999</v>
      </c>
      <c r="U39" s="271">
        <f t="shared" si="10"/>
        <v>93722.243000000017</v>
      </c>
      <c r="V39" s="271">
        <f t="shared" si="10"/>
        <v>106490.74300000002</v>
      </c>
      <c r="W39" s="271">
        <f t="shared" si="10"/>
        <v>88225.442999999985</v>
      </c>
      <c r="X39" s="271">
        <f t="shared" si="10"/>
        <v>89665.04800000001</v>
      </c>
      <c r="Y39" s="271">
        <f t="shared" si="10"/>
        <v>98372.743000000002</v>
      </c>
      <c r="Z39" s="272">
        <f>SUM(Z40:Z44)</f>
        <v>155707.67800000001</v>
      </c>
    </row>
    <row r="40" spans="1:26" s="329" customFormat="1" ht="10.199999999999999" x14ac:dyDescent="0.2">
      <c r="A40" s="326"/>
      <c r="B40" s="116" t="s">
        <v>135</v>
      </c>
      <c r="C40" s="281">
        <f t="shared" ref="C40:Z40" si="11">C7+C13+C19+C25+C31+C34+C38</f>
        <v>-20615.974999999999</v>
      </c>
      <c r="D40" s="281">
        <f t="shared" si="11"/>
        <v>-17809.275000000001</v>
      </c>
      <c r="E40" s="281">
        <f t="shared" si="11"/>
        <v>-10387.275000000001</v>
      </c>
      <c r="F40" s="281">
        <f t="shared" si="11"/>
        <v>-22723.974999999999</v>
      </c>
      <c r="G40" s="281">
        <f t="shared" si="11"/>
        <v>-28293.175000000003</v>
      </c>
      <c r="H40" s="281">
        <f t="shared" si="11"/>
        <v>-54162.990999999995</v>
      </c>
      <c r="I40" s="281">
        <f t="shared" si="11"/>
        <v>-48226.150999999998</v>
      </c>
      <c r="J40" s="281">
        <f t="shared" si="11"/>
        <v>-58676.751000000004</v>
      </c>
      <c r="K40" s="281">
        <f t="shared" si="11"/>
        <v>-63245.305999999997</v>
      </c>
      <c r="L40" s="281">
        <f t="shared" si="11"/>
        <v>-60106.741999999998</v>
      </c>
      <c r="M40" s="281">
        <f t="shared" si="11"/>
        <v>-55300.042000000001</v>
      </c>
      <c r="N40" s="282">
        <f t="shared" si="11"/>
        <v>-167.79999999999927</v>
      </c>
      <c r="O40" s="283">
        <f t="shared" si="11"/>
        <v>-28429.379999999997</v>
      </c>
      <c r="P40" s="283">
        <f t="shared" si="11"/>
        <v>-45195.48</v>
      </c>
      <c r="Q40" s="283">
        <f t="shared" si="11"/>
        <v>-40078.379999999997</v>
      </c>
      <c r="R40" s="283">
        <f t="shared" si="11"/>
        <v>-48428.557000000001</v>
      </c>
      <c r="S40" s="283">
        <f t="shared" si="11"/>
        <v>-52998.456999999995</v>
      </c>
      <c r="T40" s="283">
        <f t="shared" si="11"/>
        <v>-73658.651000000013</v>
      </c>
      <c r="U40" s="283">
        <f t="shared" si="11"/>
        <v>-73797.350999999995</v>
      </c>
      <c r="V40" s="283">
        <f t="shared" si="11"/>
        <v>-59028.851000000002</v>
      </c>
      <c r="W40" s="283">
        <f t="shared" si="11"/>
        <v>-70794.151000000013</v>
      </c>
      <c r="X40" s="283">
        <f t="shared" si="11"/>
        <v>-67354.546000000002</v>
      </c>
      <c r="Y40" s="283">
        <f t="shared" si="11"/>
        <v>-62386.846000000005</v>
      </c>
      <c r="Z40" s="284">
        <f t="shared" si="11"/>
        <v>-22551.510999999999</v>
      </c>
    </row>
    <row r="41" spans="1:26" s="329" customFormat="1" ht="10.199999999999999" x14ac:dyDescent="0.2">
      <c r="A41" s="326"/>
      <c r="B41" s="116" t="s">
        <v>136</v>
      </c>
      <c r="C41" s="281">
        <f t="shared" ref="C41:N41" si="12">C8+C14+C20+C26+C35</f>
        <v>147284.27499999999</v>
      </c>
      <c r="D41" s="281">
        <f t="shared" si="12"/>
        <v>143820.72500000001</v>
      </c>
      <c r="E41" s="281">
        <f t="shared" si="12"/>
        <v>139121.72500000001</v>
      </c>
      <c r="F41" s="281">
        <f t="shared" si="12"/>
        <v>139250.07500000001</v>
      </c>
      <c r="G41" s="281">
        <f t="shared" si="12"/>
        <v>141110.52499999999</v>
      </c>
      <c r="H41" s="281">
        <f t="shared" si="12"/>
        <v>141778.04999999999</v>
      </c>
      <c r="I41" s="281">
        <f t="shared" si="12"/>
        <v>141838.57499999998</v>
      </c>
      <c r="J41" s="281">
        <f t="shared" si="12"/>
        <v>141838.57499999998</v>
      </c>
      <c r="K41" s="281">
        <f t="shared" si="12"/>
        <v>142078.15</v>
      </c>
      <c r="L41" s="281">
        <f t="shared" si="12"/>
        <v>141880.69999999998</v>
      </c>
      <c r="M41" s="281">
        <f t="shared" si="12"/>
        <v>138366.19999999998</v>
      </c>
      <c r="N41" s="282">
        <f t="shared" si="12"/>
        <v>136367.02499999999</v>
      </c>
      <c r="O41" s="283">
        <f>O8+O14+O20+O26+O35</f>
        <v>136371.02499999999</v>
      </c>
      <c r="P41" s="283">
        <f t="shared" ref="P41:Y41" si="13">P8+P14+P20+P26+P35</f>
        <v>136856.02499999999</v>
      </c>
      <c r="Q41" s="283">
        <f t="shared" si="13"/>
        <v>136816</v>
      </c>
      <c r="R41" s="283">
        <f t="shared" si="13"/>
        <v>137051</v>
      </c>
      <c r="S41" s="283">
        <f t="shared" si="13"/>
        <v>130519.97500000001</v>
      </c>
      <c r="T41" s="283">
        <f t="shared" si="13"/>
        <v>126662.47500000001</v>
      </c>
      <c r="U41" s="283">
        <f t="shared" si="13"/>
        <v>126548.47500000001</v>
      </c>
      <c r="V41" s="283">
        <f t="shared" si="13"/>
        <v>124729.5</v>
      </c>
      <c r="W41" s="283">
        <f t="shared" si="13"/>
        <v>120992.25</v>
      </c>
      <c r="X41" s="283">
        <f t="shared" si="13"/>
        <v>118956.45000000001</v>
      </c>
      <c r="Y41" s="283">
        <f t="shared" si="13"/>
        <v>122163</v>
      </c>
      <c r="Z41" s="284">
        <f>Z8+Z14+Z20+Z26+Z35</f>
        <v>136363.07500000001</v>
      </c>
    </row>
    <row r="42" spans="1:26" s="329" customFormat="1" ht="10.199999999999999" x14ac:dyDescent="0.2">
      <c r="A42" s="326"/>
      <c r="B42" s="116" t="s">
        <v>154</v>
      </c>
      <c r="C42" s="281">
        <f t="shared" ref="C42:N43" si="14">C9+C15+C21+C27</f>
        <v>2903.45</v>
      </c>
      <c r="D42" s="281">
        <f t="shared" si="14"/>
        <v>2883.45</v>
      </c>
      <c r="E42" s="281">
        <f t="shared" si="14"/>
        <v>2753.45</v>
      </c>
      <c r="F42" s="281">
        <f t="shared" si="14"/>
        <v>2624.5250000000001</v>
      </c>
      <c r="G42" s="281">
        <f t="shared" si="14"/>
        <v>2674.625</v>
      </c>
      <c r="H42" s="281">
        <f t="shared" si="14"/>
        <v>3157.6000000000004</v>
      </c>
      <c r="I42" s="281">
        <f t="shared" si="14"/>
        <v>3102.65</v>
      </c>
      <c r="J42" s="281">
        <f t="shared" si="14"/>
        <v>3112.65</v>
      </c>
      <c r="K42" s="281">
        <f t="shared" si="14"/>
        <v>2983.0750000000003</v>
      </c>
      <c r="L42" s="281">
        <f t="shared" si="14"/>
        <v>3010.5250000000001</v>
      </c>
      <c r="M42" s="281">
        <f t="shared" si="14"/>
        <v>2995.5250000000001</v>
      </c>
      <c r="N42" s="282">
        <f t="shared" si="14"/>
        <v>2744.35</v>
      </c>
      <c r="O42" s="283">
        <f>O9+O15+O21+O27</f>
        <v>2650.35</v>
      </c>
      <c r="P42" s="283">
        <f t="shared" ref="P42:Y43" si="15">P9+P15+P21+P27</f>
        <v>2645.35</v>
      </c>
      <c r="Q42" s="283">
        <f t="shared" si="15"/>
        <v>2637.875</v>
      </c>
      <c r="R42" s="283">
        <f t="shared" si="15"/>
        <v>2612.875</v>
      </c>
      <c r="S42" s="283">
        <f t="shared" si="15"/>
        <v>2673.9</v>
      </c>
      <c r="T42" s="283">
        <f t="shared" si="15"/>
        <v>2686.4</v>
      </c>
      <c r="U42" s="283">
        <f t="shared" si="15"/>
        <v>2800.4</v>
      </c>
      <c r="V42" s="283">
        <f t="shared" si="15"/>
        <v>2639.375</v>
      </c>
      <c r="W42" s="283">
        <f t="shared" si="15"/>
        <v>2600.125</v>
      </c>
      <c r="X42" s="283">
        <f t="shared" si="15"/>
        <v>2595.9250000000002</v>
      </c>
      <c r="Y42" s="283">
        <f t="shared" si="15"/>
        <v>3187.5749999999998</v>
      </c>
      <c r="Z42" s="284">
        <f>Z9+Z15+Z21+Z27</f>
        <v>3087.8249999999998</v>
      </c>
    </row>
    <row r="43" spans="1:26" s="329" customFormat="1" ht="10.199999999999999" x14ac:dyDescent="0.2">
      <c r="A43" s="326"/>
      <c r="B43" s="116" t="s">
        <v>155</v>
      </c>
      <c r="C43" s="281">
        <f t="shared" si="14"/>
        <v>2073.7190000000001</v>
      </c>
      <c r="D43" s="281">
        <f t="shared" si="14"/>
        <v>2057.2689999999998</v>
      </c>
      <c r="E43" s="281">
        <f t="shared" si="14"/>
        <v>1940.8689999999999</v>
      </c>
      <c r="F43" s="281">
        <f t="shared" si="14"/>
        <v>1937.124</v>
      </c>
      <c r="G43" s="281">
        <f t="shared" si="14"/>
        <v>2123.5639999999999</v>
      </c>
      <c r="H43" s="281">
        <f t="shared" si="14"/>
        <v>3066.7490000000003</v>
      </c>
      <c r="I43" s="281">
        <f t="shared" si="14"/>
        <v>3066.2339999999999</v>
      </c>
      <c r="J43" s="281">
        <f t="shared" si="14"/>
        <v>3056.4340000000002</v>
      </c>
      <c r="K43" s="281">
        <f t="shared" si="14"/>
        <v>2947.634</v>
      </c>
      <c r="L43" s="281">
        <f t="shared" si="14"/>
        <v>3121.134</v>
      </c>
      <c r="M43" s="281">
        <f t="shared" si="14"/>
        <v>3072.134</v>
      </c>
      <c r="N43" s="282">
        <f t="shared" si="14"/>
        <v>3046.3240000000001</v>
      </c>
      <c r="O43" s="283">
        <f>O10+O16+O22+O28</f>
        <v>3136.8240000000001</v>
      </c>
      <c r="P43" s="283">
        <f t="shared" si="15"/>
        <v>3236.8240000000001</v>
      </c>
      <c r="Q43" s="283">
        <f t="shared" si="15"/>
        <v>3234.3240000000001</v>
      </c>
      <c r="R43" s="283">
        <f t="shared" si="15"/>
        <v>3067.4749999999999</v>
      </c>
      <c r="S43" s="283">
        <f t="shared" si="15"/>
        <v>3037.4749999999999</v>
      </c>
      <c r="T43" s="283">
        <f t="shared" si="15"/>
        <v>2882.4749999999999</v>
      </c>
      <c r="U43" s="283">
        <f t="shared" si="15"/>
        <v>2882.4749999999999</v>
      </c>
      <c r="V43" s="283">
        <f t="shared" si="15"/>
        <v>2862.4749999999999</v>
      </c>
      <c r="W43" s="283">
        <f t="shared" si="15"/>
        <v>2738.9749999999999</v>
      </c>
      <c r="X43" s="283">
        <f t="shared" si="15"/>
        <v>2778.9749999999999</v>
      </c>
      <c r="Y43" s="283">
        <f t="shared" si="15"/>
        <v>3023.6750000000002</v>
      </c>
      <c r="Z43" s="284">
        <f>Z10+Z16+Z22+Z28</f>
        <v>3046.95</v>
      </c>
    </row>
    <row r="44" spans="1:26" s="329" customFormat="1" ht="10.199999999999999" x14ac:dyDescent="0.2">
      <c r="A44" s="326"/>
      <c r="B44" s="116" t="s">
        <v>156</v>
      </c>
      <c r="C44" s="281">
        <f t="shared" ref="C44:Y44" si="16">C11+C17+C23+C29+C36+C32</f>
        <v>39022.740000000005</v>
      </c>
      <c r="D44" s="281">
        <f t="shared" si="16"/>
        <v>39022.04</v>
      </c>
      <c r="E44" s="281">
        <f t="shared" si="16"/>
        <v>38967.440000000002</v>
      </c>
      <c r="F44" s="281">
        <f t="shared" si="16"/>
        <v>38971.760000000002</v>
      </c>
      <c r="G44" s="281">
        <f t="shared" si="16"/>
        <v>39874.76</v>
      </c>
      <c r="H44" s="281">
        <f t="shared" si="16"/>
        <v>41070.796000000009</v>
      </c>
      <c r="I44" s="281">
        <f t="shared" si="16"/>
        <v>41056.586000000003</v>
      </c>
      <c r="J44" s="281">
        <f t="shared" si="16"/>
        <v>41056.386000000006</v>
      </c>
      <c r="K44" s="281">
        <f t="shared" si="16"/>
        <v>41104.351000000002</v>
      </c>
      <c r="L44" s="281">
        <f t="shared" si="16"/>
        <v>41128.686000000002</v>
      </c>
      <c r="M44" s="281">
        <f t="shared" si="16"/>
        <v>39127.185999999994</v>
      </c>
      <c r="N44" s="282">
        <f t="shared" si="16"/>
        <v>36326.843999999997</v>
      </c>
      <c r="O44" s="283">
        <f t="shared" si="16"/>
        <v>36325.024000000005</v>
      </c>
      <c r="P44" s="283">
        <f t="shared" si="16"/>
        <v>36325.019</v>
      </c>
      <c r="Q44" s="283">
        <f t="shared" si="16"/>
        <v>36325.024000000005</v>
      </c>
      <c r="R44" s="283">
        <f t="shared" si="16"/>
        <v>36320.950000000012</v>
      </c>
      <c r="S44" s="283">
        <f t="shared" si="16"/>
        <v>36320.950000000012</v>
      </c>
      <c r="T44" s="283">
        <f t="shared" si="16"/>
        <v>35288.243999999999</v>
      </c>
      <c r="U44" s="283">
        <f t="shared" si="16"/>
        <v>35288.244000000006</v>
      </c>
      <c r="V44" s="283">
        <f t="shared" si="16"/>
        <v>35288.244000000006</v>
      </c>
      <c r="W44" s="283">
        <f t="shared" si="16"/>
        <v>32688.243999999999</v>
      </c>
      <c r="X44" s="283">
        <f t="shared" si="16"/>
        <v>32688.243999999999</v>
      </c>
      <c r="Y44" s="283">
        <f t="shared" si="16"/>
        <v>32385.339000000004</v>
      </c>
      <c r="Z44" s="284">
        <f>Z11+Z17+Z23+Z29+Z36+Z32</f>
        <v>35761.339</v>
      </c>
    </row>
    <row r="45" spans="1:26" s="329" customFormat="1" ht="21" thickBot="1" x14ac:dyDescent="0.25">
      <c r="A45" s="337"/>
      <c r="B45" s="338" t="s">
        <v>161</v>
      </c>
      <c r="C45" s="339">
        <f t="shared" ref="C45:Y45" si="17">C39-C37</f>
        <v>207001.70899999997</v>
      </c>
      <c r="D45" s="339">
        <f t="shared" si="17"/>
        <v>207001.709</v>
      </c>
      <c r="E45" s="339">
        <f t="shared" si="17"/>
        <v>207001.70900000003</v>
      </c>
      <c r="F45" s="339">
        <f t="shared" si="17"/>
        <v>207001.70899999997</v>
      </c>
      <c r="G45" s="339">
        <f t="shared" si="17"/>
        <v>210001.69899999999</v>
      </c>
      <c r="H45" s="339">
        <f t="shared" si="17"/>
        <v>212734.60399999999</v>
      </c>
      <c r="I45" s="339">
        <f t="shared" si="17"/>
        <v>212734.59399999998</v>
      </c>
      <c r="J45" s="339">
        <f t="shared" si="17"/>
        <v>212734.59399999998</v>
      </c>
      <c r="K45" s="339">
        <f t="shared" si="17"/>
        <v>212784.60399999999</v>
      </c>
      <c r="L45" s="339">
        <f t="shared" si="17"/>
        <v>212784.603</v>
      </c>
      <c r="M45" s="339">
        <f t="shared" si="17"/>
        <v>207784.60299999997</v>
      </c>
      <c r="N45" s="340">
        <f t="shared" si="17"/>
        <v>201817.54300000001</v>
      </c>
      <c r="O45" s="339">
        <f t="shared" si="17"/>
        <v>201817.54300000001</v>
      </c>
      <c r="P45" s="339">
        <f t="shared" si="17"/>
        <v>201817.538</v>
      </c>
      <c r="Q45" s="339">
        <f t="shared" si="17"/>
        <v>201817.54300000001</v>
      </c>
      <c r="R45" s="339">
        <f t="shared" si="17"/>
        <v>201517.54300000001</v>
      </c>
      <c r="S45" s="339">
        <f t="shared" si="17"/>
        <v>195017.54300000001</v>
      </c>
      <c r="T45" s="339">
        <f t="shared" si="17"/>
        <v>189517.54300000001</v>
      </c>
      <c r="U45" s="339">
        <f t="shared" si="17"/>
        <v>189517.54300000001</v>
      </c>
      <c r="V45" s="339">
        <f t="shared" si="17"/>
        <v>187517.54300000001</v>
      </c>
      <c r="W45" s="339">
        <f t="shared" si="17"/>
        <v>181017.54300000001</v>
      </c>
      <c r="X45" s="339">
        <f t="shared" si="17"/>
        <v>175517.54800000001</v>
      </c>
      <c r="Y45" s="339">
        <f t="shared" si="17"/>
        <v>179257.54300000001</v>
      </c>
      <c r="Z45" s="341">
        <f>Z39-Z37</f>
        <v>196785.77800000002</v>
      </c>
    </row>
    <row r="46" spans="1:26" s="329" customFormat="1" ht="10.8" thickTop="1" x14ac:dyDescent="0.2">
      <c r="B46" s="342" t="s">
        <v>162</v>
      </c>
    </row>
    <row r="47" spans="1:26" s="329" customFormat="1" ht="10.199999999999999" x14ac:dyDescent="0.2">
      <c r="B47" s="342" t="s">
        <v>163</v>
      </c>
    </row>
    <row r="48" spans="1:26" s="329" customFormat="1" ht="10.199999999999999" x14ac:dyDescent="0.2"/>
  </sheetData>
  <mergeCells count="3">
    <mergeCell ref="A4:B5"/>
    <mergeCell ref="C4:N4"/>
    <mergeCell ref="O4:Z4"/>
  </mergeCells>
  <hyperlinks>
    <hyperlink ref="B46" r:id="rId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22" workbookViewId="0">
      <selection activeCell="J20" sqref="J20"/>
    </sheetView>
  </sheetViews>
  <sheetFormatPr defaultRowHeight="14.4" x14ac:dyDescent="0.3"/>
  <cols>
    <col min="1" max="1" width="6.33203125" customWidth="1"/>
    <col min="2" max="2" width="25" customWidth="1"/>
    <col min="3" max="14" width="10.33203125" customWidth="1"/>
    <col min="257" max="257" width="6.33203125" customWidth="1"/>
    <col min="258" max="258" width="25" customWidth="1"/>
    <col min="259" max="270" width="10.33203125" customWidth="1"/>
    <col min="513" max="513" width="6.33203125" customWidth="1"/>
    <col min="514" max="514" width="25" customWidth="1"/>
    <col min="515" max="526" width="10.33203125" customWidth="1"/>
    <col min="769" max="769" width="6.33203125" customWidth="1"/>
    <col min="770" max="770" width="25" customWidth="1"/>
    <col min="771" max="782" width="10.33203125" customWidth="1"/>
    <col min="1025" max="1025" width="6.33203125" customWidth="1"/>
    <col min="1026" max="1026" width="25" customWidth="1"/>
    <col min="1027" max="1038" width="10.33203125" customWidth="1"/>
    <col min="1281" max="1281" width="6.33203125" customWidth="1"/>
    <col min="1282" max="1282" width="25" customWidth="1"/>
    <col min="1283" max="1294" width="10.33203125" customWidth="1"/>
    <col min="1537" max="1537" width="6.33203125" customWidth="1"/>
    <col min="1538" max="1538" width="25" customWidth="1"/>
    <col min="1539" max="1550" width="10.33203125" customWidth="1"/>
    <col min="1793" max="1793" width="6.33203125" customWidth="1"/>
    <col min="1794" max="1794" width="25" customWidth="1"/>
    <col min="1795" max="1806" width="10.33203125" customWidth="1"/>
    <col min="2049" max="2049" width="6.33203125" customWidth="1"/>
    <col min="2050" max="2050" width="25" customWidth="1"/>
    <col min="2051" max="2062" width="10.33203125" customWidth="1"/>
    <col min="2305" max="2305" width="6.33203125" customWidth="1"/>
    <col min="2306" max="2306" width="25" customWidth="1"/>
    <col min="2307" max="2318" width="10.33203125" customWidth="1"/>
    <col min="2561" max="2561" width="6.33203125" customWidth="1"/>
    <col min="2562" max="2562" width="25" customWidth="1"/>
    <col min="2563" max="2574" width="10.33203125" customWidth="1"/>
    <col min="2817" max="2817" width="6.33203125" customWidth="1"/>
    <col min="2818" max="2818" width="25" customWidth="1"/>
    <col min="2819" max="2830" width="10.33203125" customWidth="1"/>
    <col min="3073" max="3073" width="6.33203125" customWidth="1"/>
    <col min="3074" max="3074" width="25" customWidth="1"/>
    <col min="3075" max="3086" width="10.33203125" customWidth="1"/>
    <col min="3329" max="3329" width="6.33203125" customWidth="1"/>
    <col min="3330" max="3330" width="25" customWidth="1"/>
    <col min="3331" max="3342" width="10.33203125" customWidth="1"/>
    <col min="3585" max="3585" width="6.33203125" customWidth="1"/>
    <col min="3586" max="3586" width="25" customWidth="1"/>
    <col min="3587" max="3598" width="10.33203125" customWidth="1"/>
    <col min="3841" max="3841" width="6.33203125" customWidth="1"/>
    <col min="3842" max="3842" width="25" customWidth="1"/>
    <col min="3843" max="3854" width="10.33203125" customWidth="1"/>
    <col min="4097" max="4097" width="6.33203125" customWidth="1"/>
    <col min="4098" max="4098" width="25" customWidth="1"/>
    <col min="4099" max="4110" width="10.33203125" customWidth="1"/>
    <col min="4353" max="4353" width="6.33203125" customWidth="1"/>
    <col min="4354" max="4354" width="25" customWidth="1"/>
    <col min="4355" max="4366" width="10.33203125" customWidth="1"/>
    <col min="4609" max="4609" width="6.33203125" customWidth="1"/>
    <col min="4610" max="4610" width="25" customWidth="1"/>
    <col min="4611" max="4622" width="10.33203125" customWidth="1"/>
    <col min="4865" max="4865" width="6.33203125" customWidth="1"/>
    <col min="4866" max="4866" width="25" customWidth="1"/>
    <col min="4867" max="4878" width="10.33203125" customWidth="1"/>
    <col min="5121" max="5121" width="6.33203125" customWidth="1"/>
    <col min="5122" max="5122" width="25" customWidth="1"/>
    <col min="5123" max="5134" width="10.33203125" customWidth="1"/>
    <col min="5377" max="5377" width="6.33203125" customWidth="1"/>
    <col min="5378" max="5378" width="25" customWidth="1"/>
    <col min="5379" max="5390" width="10.33203125" customWidth="1"/>
    <col min="5633" max="5633" width="6.33203125" customWidth="1"/>
    <col min="5634" max="5634" width="25" customWidth="1"/>
    <col min="5635" max="5646" width="10.33203125" customWidth="1"/>
    <col min="5889" max="5889" width="6.33203125" customWidth="1"/>
    <col min="5890" max="5890" width="25" customWidth="1"/>
    <col min="5891" max="5902" width="10.33203125" customWidth="1"/>
    <col min="6145" max="6145" width="6.33203125" customWidth="1"/>
    <col min="6146" max="6146" width="25" customWidth="1"/>
    <col min="6147" max="6158" width="10.33203125" customWidth="1"/>
    <col min="6401" max="6401" width="6.33203125" customWidth="1"/>
    <col min="6402" max="6402" width="25" customWidth="1"/>
    <col min="6403" max="6414" width="10.33203125" customWidth="1"/>
    <col min="6657" max="6657" width="6.33203125" customWidth="1"/>
    <col min="6658" max="6658" width="25" customWidth="1"/>
    <col min="6659" max="6670" width="10.33203125" customWidth="1"/>
    <col min="6913" max="6913" width="6.33203125" customWidth="1"/>
    <col min="6914" max="6914" width="25" customWidth="1"/>
    <col min="6915" max="6926" width="10.33203125" customWidth="1"/>
    <col min="7169" max="7169" width="6.33203125" customWidth="1"/>
    <col min="7170" max="7170" width="25" customWidth="1"/>
    <col min="7171" max="7182" width="10.33203125" customWidth="1"/>
    <col min="7425" max="7425" width="6.33203125" customWidth="1"/>
    <col min="7426" max="7426" width="25" customWidth="1"/>
    <col min="7427" max="7438" width="10.33203125" customWidth="1"/>
    <col min="7681" max="7681" width="6.33203125" customWidth="1"/>
    <col min="7682" max="7682" width="25" customWidth="1"/>
    <col min="7683" max="7694" width="10.33203125" customWidth="1"/>
    <col min="7937" max="7937" width="6.33203125" customWidth="1"/>
    <col min="7938" max="7938" width="25" customWidth="1"/>
    <col min="7939" max="7950" width="10.33203125" customWidth="1"/>
    <col min="8193" max="8193" width="6.33203125" customWidth="1"/>
    <col min="8194" max="8194" width="25" customWidth="1"/>
    <col min="8195" max="8206" width="10.33203125" customWidth="1"/>
    <col min="8449" max="8449" width="6.33203125" customWidth="1"/>
    <col min="8450" max="8450" width="25" customWidth="1"/>
    <col min="8451" max="8462" width="10.33203125" customWidth="1"/>
    <col min="8705" max="8705" width="6.33203125" customWidth="1"/>
    <col min="8706" max="8706" width="25" customWidth="1"/>
    <col min="8707" max="8718" width="10.33203125" customWidth="1"/>
    <col min="8961" max="8961" width="6.33203125" customWidth="1"/>
    <col min="8962" max="8962" width="25" customWidth="1"/>
    <col min="8963" max="8974" width="10.33203125" customWidth="1"/>
    <col min="9217" max="9217" width="6.33203125" customWidth="1"/>
    <col min="9218" max="9218" width="25" customWidth="1"/>
    <col min="9219" max="9230" width="10.33203125" customWidth="1"/>
    <col min="9473" max="9473" width="6.33203125" customWidth="1"/>
    <col min="9474" max="9474" width="25" customWidth="1"/>
    <col min="9475" max="9486" width="10.33203125" customWidth="1"/>
    <col min="9729" max="9729" width="6.33203125" customWidth="1"/>
    <col min="9730" max="9730" width="25" customWidth="1"/>
    <col min="9731" max="9742" width="10.33203125" customWidth="1"/>
    <col min="9985" max="9985" width="6.33203125" customWidth="1"/>
    <col min="9986" max="9986" width="25" customWidth="1"/>
    <col min="9987" max="9998" width="10.33203125" customWidth="1"/>
    <col min="10241" max="10241" width="6.33203125" customWidth="1"/>
    <col min="10242" max="10242" width="25" customWidth="1"/>
    <col min="10243" max="10254" width="10.33203125" customWidth="1"/>
    <col min="10497" max="10497" width="6.33203125" customWidth="1"/>
    <col min="10498" max="10498" width="25" customWidth="1"/>
    <col min="10499" max="10510" width="10.33203125" customWidth="1"/>
    <col min="10753" max="10753" width="6.33203125" customWidth="1"/>
    <col min="10754" max="10754" width="25" customWidth="1"/>
    <col min="10755" max="10766" width="10.33203125" customWidth="1"/>
    <col min="11009" max="11009" width="6.33203125" customWidth="1"/>
    <col min="11010" max="11010" width="25" customWidth="1"/>
    <col min="11011" max="11022" width="10.33203125" customWidth="1"/>
    <col min="11265" max="11265" width="6.33203125" customWidth="1"/>
    <col min="11266" max="11266" width="25" customWidth="1"/>
    <col min="11267" max="11278" width="10.33203125" customWidth="1"/>
    <col min="11521" max="11521" width="6.33203125" customWidth="1"/>
    <col min="11522" max="11522" width="25" customWidth="1"/>
    <col min="11523" max="11534" width="10.33203125" customWidth="1"/>
    <col min="11777" max="11777" width="6.33203125" customWidth="1"/>
    <col min="11778" max="11778" width="25" customWidth="1"/>
    <col min="11779" max="11790" width="10.33203125" customWidth="1"/>
    <col min="12033" max="12033" width="6.33203125" customWidth="1"/>
    <col min="12034" max="12034" width="25" customWidth="1"/>
    <col min="12035" max="12046" width="10.33203125" customWidth="1"/>
    <col min="12289" max="12289" width="6.33203125" customWidth="1"/>
    <col min="12290" max="12290" width="25" customWidth="1"/>
    <col min="12291" max="12302" width="10.33203125" customWidth="1"/>
    <col min="12545" max="12545" width="6.33203125" customWidth="1"/>
    <col min="12546" max="12546" width="25" customWidth="1"/>
    <col min="12547" max="12558" width="10.33203125" customWidth="1"/>
    <col min="12801" max="12801" width="6.33203125" customWidth="1"/>
    <col min="12802" max="12802" width="25" customWidth="1"/>
    <col min="12803" max="12814" width="10.33203125" customWidth="1"/>
    <col min="13057" max="13057" width="6.33203125" customWidth="1"/>
    <col min="13058" max="13058" width="25" customWidth="1"/>
    <col min="13059" max="13070" width="10.33203125" customWidth="1"/>
    <col min="13313" max="13313" width="6.33203125" customWidth="1"/>
    <col min="13314" max="13314" width="25" customWidth="1"/>
    <col min="13315" max="13326" width="10.33203125" customWidth="1"/>
    <col min="13569" max="13569" width="6.33203125" customWidth="1"/>
    <col min="13570" max="13570" width="25" customWidth="1"/>
    <col min="13571" max="13582" width="10.33203125" customWidth="1"/>
    <col min="13825" max="13825" width="6.33203125" customWidth="1"/>
    <col min="13826" max="13826" width="25" customWidth="1"/>
    <col min="13827" max="13838" width="10.33203125" customWidth="1"/>
    <col min="14081" max="14081" width="6.33203125" customWidth="1"/>
    <col min="14082" max="14082" width="25" customWidth="1"/>
    <col min="14083" max="14094" width="10.33203125" customWidth="1"/>
    <col min="14337" max="14337" width="6.33203125" customWidth="1"/>
    <col min="14338" max="14338" width="25" customWidth="1"/>
    <col min="14339" max="14350" width="10.33203125" customWidth="1"/>
    <col min="14593" max="14593" width="6.33203125" customWidth="1"/>
    <col min="14594" max="14594" width="25" customWidth="1"/>
    <col min="14595" max="14606" width="10.33203125" customWidth="1"/>
    <col min="14849" max="14849" width="6.33203125" customWidth="1"/>
    <col min="14850" max="14850" width="25" customWidth="1"/>
    <col min="14851" max="14862" width="10.33203125" customWidth="1"/>
    <col min="15105" max="15105" width="6.33203125" customWidth="1"/>
    <col min="15106" max="15106" width="25" customWidth="1"/>
    <col min="15107" max="15118" width="10.33203125" customWidth="1"/>
    <col min="15361" max="15361" width="6.33203125" customWidth="1"/>
    <col min="15362" max="15362" width="25" customWidth="1"/>
    <col min="15363" max="15374" width="10.33203125" customWidth="1"/>
    <col min="15617" max="15617" width="6.33203125" customWidth="1"/>
    <col min="15618" max="15618" width="25" customWidth="1"/>
    <col min="15619" max="15630" width="10.33203125" customWidth="1"/>
    <col min="15873" max="15873" width="6.33203125" customWidth="1"/>
    <col min="15874" max="15874" width="25" customWidth="1"/>
    <col min="15875" max="15886" width="10.33203125" customWidth="1"/>
    <col min="16129" max="16129" width="6.33203125" customWidth="1"/>
    <col min="16130" max="16130" width="25" customWidth="1"/>
    <col min="16131" max="16142" width="10.33203125" customWidth="1"/>
  </cols>
  <sheetData>
    <row r="1" spans="1:14" s="321" customFormat="1" ht="22.8" x14ac:dyDescent="0.4">
      <c r="A1" s="480" t="s">
        <v>0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</row>
    <row r="2" spans="1:14" x14ac:dyDescent="0.3">
      <c r="A2" s="481"/>
      <c r="B2" s="481"/>
    </row>
    <row r="3" spans="1:14" ht="15" thickBot="1" x14ac:dyDescent="0.3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</row>
    <row r="4" spans="1:14" s="329" customFormat="1" ht="10.8" thickTop="1" x14ac:dyDescent="0.2">
      <c r="A4" s="483" t="s">
        <v>130</v>
      </c>
      <c r="B4" s="484"/>
      <c r="C4" s="487" t="s">
        <v>164</v>
      </c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8"/>
    </row>
    <row r="5" spans="1:14" s="329" customFormat="1" ht="31.5" customHeight="1" x14ac:dyDescent="0.2">
      <c r="A5" s="485"/>
      <c r="B5" s="486"/>
      <c r="C5" s="343" t="s">
        <v>5</v>
      </c>
      <c r="D5" s="343" t="s">
        <v>133</v>
      </c>
      <c r="E5" s="343" t="s">
        <v>7</v>
      </c>
      <c r="F5" s="343" t="s">
        <v>8</v>
      </c>
      <c r="G5" s="343" t="s">
        <v>9</v>
      </c>
      <c r="H5" s="343" t="s">
        <v>10</v>
      </c>
      <c r="I5" s="343" t="s">
        <v>11</v>
      </c>
      <c r="J5" s="343" t="s">
        <v>12</v>
      </c>
      <c r="K5" s="343" t="s">
        <v>13</v>
      </c>
      <c r="L5" s="343" t="s">
        <v>14</v>
      </c>
      <c r="M5" s="343" t="s">
        <v>15</v>
      </c>
      <c r="N5" s="344" t="s">
        <v>165</v>
      </c>
    </row>
    <row r="6" spans="1:14" s="329" customFormat="1" ht="10.199999999999999" x14ac:dyDescent="0.2">
      <c r="A6" s="269">
        <v>1</v>
      </c>
      <c r="B6" s="114" t="s">
        <v>111</v>
      </c>
      <c r="C6" s="271">
        <f t="shared" ref="C6:N6" si="0">SUM(C7:C11)</f>
        <v>119858.10699999999</v>
      </c>
      <c r="D6" s="271">
        <f t="shared" si="0"/>
        <v>114409.10699999999</v>
      </c>
      <c r="E6" s="271">
        <f t="shared" si="0"/>
        <v>114409.107</v>
      </c>
      <c r="F6" s="345">
        <f t="shared" si="0"/>
        <v>114409.107</v>
      </c>
      <c r="G6" s="345">
        <f t="shared" si="0"/>
        <v>109259.107</v>
      </c>
      <c r="H6" s="345">
        <f t="shared" si="0"/>
        <v>107259.10699999999</v>
      </c>
      <c r="I6" s="345">
        <f t="shared" si="0"/>
        <v>107259.10699999999</v>
      </c>
      <c r="J6" s="345">
        <f t="shared" si="0"/>
        <v>115059.10699999999</v>
      </c>
      <c r="K6" s="345">
        <f t="shared" si="0"/>
        <v>117059.10699999999</v>
      </c>
      <c r="L6" s="345">
        <f t="shared" si="0"/>
        <v>120059.10699999999</v>
      </c>
      <c r="M6" s="345">
        <f>SUM(M7:M11)</f>
        <v>125059.10699999999</v>
      </c>
      <c r="N6" s="346">
        <f t="shared" si="0"/>
        <v>116059.10699999999</v>
      </c>
    </row>
    <row r="7" spans="1:14" s="329" customFormat="1" ht="10.199999999999999" x14ac:dyDescent="0.2">
      <c r="A7" s="280"/>
      <c r="B7" s="116" t="s">
        <v>135</v>
      </c>
      <c r="C7" s="281">
        <v>12568.932000000001</v>
      </c>
      <c r="D7" s="281">
        <v>11919.932000000001</v>
      </c>
      <c r="E7" s="281">
        <v>11919.932000000001</v>
      </c>
      <c r="F7" s="281">
        <v>15819.932000000001</v>
      </c>
      <c r="G7" s="281">
        <v>15819.932000000001</v>
      </c>
      <c r="H7" s="281">
        <v>15819.932000000001</v>
      </c>
      <c r="I7" s="281">
        <v>15819.932000000001</v>
      </c>
      <c r="J7" s="281">
        <v>16019.932000000001</v>
      </c>
      <c r="K7" s="281">
        <v>16019.932000000001</v>
      </c>
      <c r="L7" s="281">
        <v>16099.932000000001</v>
      </c>
      <c r="M7" s="281">
        <v>16099.932000000001</v>
      </c>
      <c r="N7" s="282">
        <v>16099.932000000001</v>
      </c>
    </row>
    <row r="8" spans="1:14" s="329" customFormat="1" ht="10.199999999999999" x14ac:dyDescent="0.2">
      <c r="A8" s="280"/>
      <c r="B8" s="116" t="s">
        <v>136</v>
      </c>
      <c r="C8" s="281">
        <v>105958.825</v>
      </c>
      <c r="D8" s="281">
        <v>98788.25</v>
      </c>
      <c r="E8" s="281">
        <v>95129.375</v>
      </c>
      <c r="F8" s="281">
        <v>91054.375</v>
      </c>
      <c r="G8" s="281">
        <v>85608.125</v>
      </c>
      <c r="H8" s="281">
        <v>84024.45</v>
      </c>
      <c r="I8" s="281">
        <v>83259.45</v>
      </c>
      <c r="J8" s="281">
        <v>89457.95</v>
      </c>
      <c r="K8" s="281">
        <v>93320.024999999994</v>
      </c>
      <c r="L8" s="281">
        <v>97290.024999999994</v>
      </c>
      <c r="M8" s="281">
        <v>104055.02499999999</v>
      </c>
      <c r="N8" s="282">
        <v>97899.524999999994</v>
      </c>
    </row>
    <row r="9" spans="1:14" s="329" customFormat="1" ht="10.199999999999999" x14ac:dyDescent="0.2">
      <c r="A9" s="280"/>
      <c r="B9" s="116" t="s">
        <v>154</v>
      </c>
      <c r="C9" s="281">
        <v>1137.2750000000001</v>
      </c>
      <c r="D9" s="281">
        <v>1447.2750000000001</v>
      </c>
      <c r="E9" s="281">
        <v>1424.7249999999999</v>
      </c>
      <c r="F9" s="281">
        <v>1614.7249999999999</v>
      </c>
      <c r="G9" s="281">
        <v>1369.7249999999999</v>
      </c>
      <c r="H9" s="281">
        <v>1419.4</v>
      </c>
      <c r="I9" s="281">
        <v>1236.9000000000001</v>
      </c>
      <c r="J9" s="281">
        <v>1306.9000000000001</v>
      </c>
      <c r="K9" s="281">
        <v>1051.9000000000001</v>
      </c>
      <c r="L9" s="281">
        <v>954.4</v>
      </c>
      <c r="M9" s="281">
        <v>604.4</v>
      </c>
      <c r="N9" s="282">
        <v>444.4</v>
      </c>
    </row>
    <row r="10" spans="1:14" s="329" customFormat="1" ht="10.199999999999999" x14ac:dyDescent="0.2">
      <c r="A10" s="280"/>
      <c r="B10" s="116" t="s">
        <v>155</v>
      </c>
      <c r="C10" s="281">
        <v>193.07499999999999</v>
      </c>
      <c r="D10" s="281">
        <v>1578.65</v>
      </c>
      <c r="E10" s="281">
        <v>1925.575</v>
      </c>
      <c r="F10" s="281">
        <v>1910.575</v>
      </c>
      <c r="G10" s="281">
        <v>2132.3249999999998</v>
      </c>
      <c r="H10" s="281">
        <v>1957.325</v>
      </c>
      <c r="I10" s="281">
        <v>1952.325</v>
      </c>
      <c r="J10" s="281">
        <v>1364.575</v>
      </c>
      <c r="K10" s="281">
        <v>216.5</v>
      </c>
      <c r="L10" s="281">
        <v>216.5</v>
      </c>
      <c r="M10" s="281">
        <v>211.5</v>
      </c>
      <c r="N10" s="282">
        <v>111.5</v>
      </c>
    </row>
    <row r="11" spans="1:14" s="329" customFormat="1" ht="10.199999999999999" x14ac:dyDescent="0.2">
      <c r="A11" s="280"/>
      <c r="B11" s="116" t="s">
        <v>156</v>
      </c>
      <c r="C11" s="281">
        <v>0</v>
      </c>
      <c r="D11" s="281">
        <v>675</v>
      </c>
      <c r="E11" s="281">
        <v>4009.5</v>
      </c>
      <c r="F11" s="281">
        <v>4009.5</v>
      </c>
      <c r="G11" s="281">
        <v>4329</v>
      </c>
      <c r="H11" s="281">
        <v>4038</v>
      </c>
      <c r="I11" s="281">
        <v>4990.5</v>
      </c>
      <c r="J11" s="281">
        <v>6909.75</v>
      </c>
      <c r="K11" s="281">
        <v>6450.75</v>
      </c>
      <c r="L11" s="281">
        <v>5498.25</v>
      </c>
      <c r="M11" s="281">
        <v>4088.25</v>
      </c>
      <c r="N11" s="282">
        <v>1503.75</v>
      </c>
    </row>
    <row r="12" spans="1:14" s="329" customFormat="1" ht="10.199999999999999" x14ac:dyDescent="0.2">
      <c r="A12" s="269">
        <v>2</v>
      </c>
      <c r="B12" s="114" t="s">
        <v>112</v>
      </c>
      <c r="C12" s="271">
        <f t="shared" ref="C12:N12" si="1">SUM(C13:C17)</f>
        <v>57070</v>
      </c>
      <c r="D12" s="271">
        <f t="shared" si="1"/>
        <v>57070</v>
      </c>
      <c r="E12" s="271">
        <f t="shared" si="1"/>
        <v>57070</v>
      </c>
      <c r="F12" s="271">
        <f t="shared" si="1"/>
        <v>57070</v>
      </c>
      <c r="G12" s="271">
        <f t="shared" si="1"/>
        <v>57070</v>
      </c>
      <c r="H12" s="271">
        <f t="shared" si="1"/>
        <v>54070</v>
      </c>
      <c r="I12" s="271">
        <f t="shared" si="1"/>
        <v>54070</v>
      </c>
      <c r="J12" s="271">
        <f t="shared" si="1"/>
        <v>53320</v>
      </c>
      <c r="K12" s="271">
        <f t="shared" si="1"/>
        <v>76820</v>
      </c>
      <c r="L12" s="271">
        <f t="shared" si="1"/>
        <v>113819.99999999999</v>
      </c>
      <c r="M12" s="271">
        <f>SUM(M13:M17)</f>
        <v>113819.99999999999</v>
      </c>
      <c r="N12" s="272">
        <f t="shared" si="1"/>
        <v>108899.99999999999</v>
      </c>
    </row>
    <row r="13" spans="1:14" s="329" customFormat="1" ht="10.199999999999999" x14ac:dyDescent="0.2">
      <c r="A13" s="280"/>
      <c r="B13" s="116" t="s">
        <v>135</v>
      </c>
      <c r="C13" s="281">
        <v>0</v>
      </c>
      <c r="D13" s="281">
        <v>0</v>
      </c>
      <c r="E13" s="281">
        <v>0</v>
      </c>
      <c r="F13" s="281">
        <v>0</v>
      </c>
      <c r="G13" s="281">
        <v>0</v>
      </c>
      <c r="H13" s="281">
        <v>0</v>
      </c>
      <c r="I13" s="281">
        <v>0</v>
      </c>
      <c r="J13" s="281">
        <v>0</v>
      </c>
      <c r="K13" s="281"/>
      <c r="L13" s="281">
        <v>0</v>
      </c>
      <c r="M13" s="281">
        <v>0</v>
      </c>
      <c r="N13" s="282">
        <v>0</v>
      </c>
    </row>
    <row r="14" spans="1:14" s="329" customFormat="1" ht="10.199999999999999" x14ac:dyDescent="0.2">
      <c r="A14" s="280"/>
      <c r="B14" s="116" t="s">
        <v>136</v>
      </c>
      <c r="C14" s="281">
        <v>35633.925000000003</v>
      </c>
      <c r="D14" s="281">
        <v>35633.925000000003</v>
      </c>
      <c r="E14" s="281">
        <v>35633.925000000003</v>
      </c>
      <c r="F14" s="281">
        <v>35633.925000000003</v>
      </c>
      <c r="G14" s="281">
        <v>35633.925000000003</v>
      </c>
      <c r="H14" s="281">
        <v>33968.925000000003</v>
      </c>
      <c r="I14" s="281">
        <v>33968.925000000003</v>
      </c>
      <c r="J14" s="281">
        <v>33353.925000000003</v>
      </c>
      <c r="K14" s="281">
        <v>49912.85</v>
      </c>
      <c r="L14" s="281">
        <v>81208.5</v>
      </c>
      <c r="M14" s="281">
        <v>81208.5</v>
      </c>
      <c r="N14" s="282">
        <v>79063.5</v>
      </c>
    </row>
    <row r="15" spans="1:14" s="329" customFormat="1" ht="10.199999999999999" x14ac:dyDescent="0.2">
      <c r="A15" s="280"/>
      <c r="B15" s="116" t="s">
        <v>154</v>
      </c>
      <c r="C15" s="281">
        <v>2180.875</v>
      </c>
      <c r="D15" s="281">
        <v>2180.875</v>
      </c>
      <c r="E15" s="281">
        <v>2180.875</v>
      </c>
      <c r="F15" s="281">
        <v>2180.875</v>
      </c>
      <c r="G15" s="281">
        <v>2180.875</v>
      </c>
      <c r="H15" s="281">
        <v>2177.875</v>
      </c>
      <c r="I15" s="281">
        <v>2177.875</v>
      </c>
      <c r="J15" s="281">
        <v>2177.875</v>
      </c>
      <c r="K15" s="281">
        <v>4196.8</v>
      </c>
      <c r="L15" s="281">
        <v>5138.6499999999996</v>
      </c>
      <c r="M15" s="281">
        <v>5138.6499999999996</v>
      </c>
      <c r="N15" s="282">
        <v>5116.6499999999996</v>
      </c>
    </row>
    <row r="16" spans="1:14" s="329" customFormat="1" ht="10.199999999999999" x14ac:dyDescent="0.2">
      <c r="A16" s="280"/>
      <c r="B16" s="116" t="s">
        <v>155</v>
      </c>
      <c r="C16" s="281">
        <v>2793.875</v>
      </c>
      <c r="D16" s="281">
        <v>2793.875</v>
      </c>
      <c r="E16" s="281">
        <v>2793.875</v>
      </c>
      <c r="F16" s="281">
        <v>2793.875</v>
      </c>
      <c r="G16" s="281">
        <v>2793.875</v>
      </c>
      <c r="H16" s="281">
        <v>2361.875</v>
      </c>
      <c r="I16" s="281">
        <v>2361.875</v>
      </c>
      <c r="J16" s="281">
        <v>2361.875</v>
      </c>
      <c r="K16" s="281">
        <v>3034.0250000000001</v>
      </c>
      <c r="L16" s="281">
        <v>3776.5250000000001</v>
      </c>
      <c r="M16" s="281">
        <v>3776.5250000000001</v>
      </c>
      <c r="N16" s="282">
        <v>3733.5250000000001</v>
      </c>
    </row>
    <row r="17" spans="1:14" s="329" customFormat="1" ht="10.199999999999999" x14ac:dyDescent="0.2">
      <c r="A17" s="280"/>
      <c r="B17" s="116" t="s">
        <v>140</v>
      </c>
      <c r="C17" s="281">
        <f>57070-C14-C15-C16</f>
        <v>16461.324999999997</v>
      </c>
      <c r="D17" s="281">
        <f>57070-SUM(D13:D16)</f>
        <v>16461.324999999997</v>
      </c>
      <c r="E17" s="281">
        <f>57070-SUM(E13:E16)</f>
        <v>16461.324999999997</v>
      </c>
      <c r="F17" s="281">
        <f>8368.575+500+5341.7+507.075+1631.975+3.1+28.675+80.225</f>
        <v>16461.325000000001</v>
      </c>
      <c r="G17" s="281">
        <f>8368.575+500+5341.7+507.075+1631.975+3.1+28.675+80.225</f>
        <v>16461.325000000001</v>
      </c>
      <c r="H17" s="281">
        <f>8368.575+500+507.075+1559.975+4513.7+3.1+28.675+80.225</f>
        <v>15561.325000000001</v>
      </c>
      <c r="I17" s="281">
        <f>8368.575+500+507.075+1559.975+4513.7+3.1+28.675+80.225</f>
        <v>15561.325000000001</v>
      </c>
      <c r="J17" s="281">
        <f>8368.575+500+4483.75+507.075+1483.675+3.1+80.15</f>
        <v>15426.325000000001</v>
      </c>
      <c r="K17" s="281">
        <f>12040.025+1205.875+4309.925+428.6+1449.125+3.1+239.675</f>
        <v>19676.324999999997</v>
      </c>
      <c r="L17" s="281">
        <f>14655.275+1205.875+5626.55+428.6+1449.125+3.1+327.8</f>
        <v>23696.324999999997</v>
      </c>
      <c r="M17" s="281">
        <f>14655.275+1205.875+5626.55+428.6+1449.125+3.1+327.8</f>
        <v>23696.324999999997</v>
      </c>
      <c r="N17" s="282">
        <f>13900.025+1205.875+4552.45+997.225+2.95+327.8</f>
        <v>20986.324999999997</v>
      </c>
    </row>
    <row r="18" spans="1:14" s="329" customFormat="1" ht="10.199999999999999" x14ac:dyDescent="0.2">
      <c r="A18" s="269">
        <v>3</v>
      </c>
      <c r="B18" s="114" t="s">
        <v>113</v>
      </c>
      <c r="C18" s="271">
        <f t="shared" ref="C18:N18" si="2">SUM(C19:C23)</f>
        <v>16586.48</v>
      </c>
      <c r="D18" s="271">
        <f t="shared" si="2"/>
        <v>16586.48</v>
      </c>
      <c r="E18" s="271">
        <f t="shared" si="2"/>
        <v>16586.48</v>
      </c>
      <c r="F18" s="271">
        <f t="shared" si="2"/>
        <v>16586.48</v>
      </c>
      <c r="G18" s="271">
        <f t="shared" si="2"/>
        <v>16586.48</v>
      </c>
      <c r="H18" s="271">
        <f t="shared" si="2"/>
        <v>16586.48</v>
      </c>
      <c r="I18" s="271">
        <f t="shared" si="2"/>
        <v>12586.48</v>
      </c>
      <c r="J18" s="271">
        <f t="shared" si="2"/>
        <v>12586.48</v>
      </c>
      <c r="K18" s="271">
        <f t="shared" si="2"/>
        <v>11086.480000000001</v>
      </c>
      <c r="L18" s="271">
        <f t="shared" si="2"/>
        <v>11086.48</v>
      </c>
      <c r="M18" s="271">
        <f>SUM(M19:M23)</f>
        <v>11086.48</v>
      </c>
      <c r="N18" s="272">
        <f t="shared" si="2"/>
        <v>906.48</v>
      </c>
    </row>
    <row r="19" spans="1:14" s="329" customFormat="1" ht="10.199999999999999" x14ac:dyDescent="0.2">
      <c r="A19" s="280"/>
      <c r="B19" s="116" t="s">
        <v>135</v>
      </c>
      <c r="C19" s="281">
        <v>21.37</v>
      </c>
      <c r="D19" s="281">
        <v>22.17</v>
      </c>
      <c r="E19" s="281">
        <v>22.17</v>
      </c>
      <c r="F19" s="281">
        <v>22.17</v>
      </c>
      <c r="G19" s="281">
        <v>22.17</v>
      </c>
      <c r="H19" s="281">
        <v>22.17</v>
      </c>
      <c r="I19" s="281">
        <v>8.6999999999999993</v>
      </c>
      <c r="J19" s="281">
        <v>8.6999999999999993</v>
      </c>
      <c r="K19" s="281">
        <v>26.1</v>
      </c>
      <c r="L19" s="281">
        <v>29.9</v>
      </c>
      <c r="M19" s="281">
        <v>31.4</v>
      </c>
      <c r="N19" s="282">
        <v>1.3</v>
      </c>
    </row>
    <row r="20" spans="1:14" s="329" customFormat="1" ht="10.199999999999999" x14ac:dyDescent="0.2">
      <c r="A20" s="280"/>
      <c r="B20" s="116" t="s">
        <v>136</v>
      </c>
      <c r="C20" s="281">
        <v>0</v>
      </c>
      <c r="D20" s="281">
        <v>0</v>
      </c>
      <c r="E20" s="281">
        <v>0</v>
      </c>
      <c r="F20" s="281">
        <v>0</v>
      </c>
      <c r="G20" s="281">
        <v>0</v>
      </c>
      <c r="H20" s="281">
        <v>0</v>
      </c>
      <c r="I20" s="281">
        <v>0</v>
      </c>
      <c r="J20" s="281">
        <v>0</v>
      </c>
      <c r="K20" s="281">
        <v>0</v>
      </c>
      <c r="L20" s="281">
        <v>0</v>
      </c>
      <c r="M20" s="281">
        <v>0</v>
      </c>
      <c r="N20" s="282">
        <v>0</v>
      </c>
    </row>
    <row r="21" spans="1:14" s="329" customFormat="1" ht="10.199999999999999" x14ac:dyDescent="0.2">
      <c r="A21" s="280"/>
      <c r="B21" s="116" t="s">
        <v>154</v>
      </c>
      <c r="C21" s="281">
        <v>0</v>
      </c>
      <c r="D21" s="281">
        <v>0</v>
      </c>
      <c r="E21" s="281">
        <v>0</v>
      </c>
      <c r="F21" s="281">
        <v>0</v>
      </c>
      <c r="G21" s="281">
        <v>0</v>
      </c>
      <c r="H21" s="281">
        <v>0</v>
      </c>
      <c r="I21" s="281">
        <v>0</v>
      </c>
      <c r="J21" s="281">
        <v>0</v>
      </c>
      <c r="K21" s="281">
        <v>0</v>
      </c>
      <c r="L21" s="281">
        <v>0</v>
      </c>
      <c r="M21" s="281">
        <v>0</v>
      </c>
      <c r="N21" s="282">
        <v>0</v>
      </c>
    </row>
    <row r="22" spans="1:14" s="329" customFormat="1" ht="10.199999999999999" x14ac:dyDescent="0.2">
      <c r="A22" s="280"/>
      <c r="B22" s="116" t="s">
        <v>155</v>
      </c>
      <c r="C22" s="281">
        <v>0</v>
      </c>
      <c r="D22" s="281">
        <v>0</v>
      </c>
      <c r="E22" s="281">
        <v>0</v>
      </c>
      <c r="F22" s="281">
        <v>0</v>
      </c>
      <c r="G22" s="281">
        <v>0</v>
      </c>
      <c r="H22" s="281">
        <v>0</v>
      </c>
      <c r="I22" s="281">
        <v>0</v>
      </c>
      <c r="J22" s="281">
        <v>0</v>
      </c>
      <c r="K22" s="281">
        <v>0</v>
      </c>
      <c r="L22" s="281">
        <v>0</v>
      </c>
      <c r="M22" s="281">
        <v>0</v>
      </c>
      <c r="N22" s="282">
        <v>0</v>
      </c>
    </row>
    <row r="23" spans="1:14" s="329" customFormat="1" ht="10.199999999999999" x14ac:dyDescent="0.2">
      <c r="A23" s="280"/>
      <c r="B23" s="116" t="s">
        <v>156</v>
      </c>
      <c r="C23" s="281">
        <f>1648.655+0.2+14916.255</f>
        <v>16565.11</v>
      </c>
      <c r="D23" s="281">
        <f>16586.48-D19</f>
        <v>16564.310000000001</v>
      </c>
      <c r="E23" s="281">
        <f>16586.48-E19</f>
        <v>16564.310000000001</v>
      </c>
      <c r="F23" s="281">
        <f>16586.48-F19</f>
        <v>16564.310000000001</v>
      </c>
      <c r="G23" s="281">
        <f>16586.48-G19</f>
        <v>16564.310000000001</v>
      </c>
      <c r="H23" s="281">
        <f>16586.48-H19</f>
        <v>16564.310000000001</v>
      </c>
      <c r="I23" s="281">
        <f>12586.48-I19</f>
        <v>12577.779999999999</v>
      </c>
      <c r="J23" s="281">
        <f>12586.48-J19</f>
        <v>12577.779999999999</v>
      </c>
      <c r="K23" s="281">
        <f>1277.236+92.564+9690.58</f>
        <v>11060.380000000001</v>
      </c>
      <c r="L23" s="281">
        <f>1264.136+101.864+9690.58</f>
        <v>11056.58</v>
      </c>
      <c r="M23" s="281">
        <f>1263.334+101.166+9690.58</f>
        <v>11055.08</v>
      </c>
      <c r="N23" s="282">
        <f>906.48-1.3</f>
        <v>905.18000000000006</v>
      </c>
    </row>
    <row r="24" spans="1:14" s="329" customFormat="1" ht="10.199999999999999" x14ac:dyDescent="0.2">
      <c r="A24" s="269">
        <v>4</v>
      </c>
      <c r="B24" s="114" t="s">
        <v>114</v>
      </c>
      <c r="C24" s="271">
        <f t="shared" ref="C24:N24" si="3">SUM(C25:C29)</f>
        <v>3056.1759999999999</v>
      </c>
      <c r="D24" s="271">
        <f t="shared" si="3"/>
        <v>3056.1759999999999</v>
      </c>
      <c r="E24" s="271">
        <f t="shared" si="3"/>
        <v>3056.1759999999999</v>
      </c>
      <c r="F24" s="271">
        <f t="shared" si="3"/>
        <v>3056.1759999999999</v>
      </c>
      <c r="G24" s="271">
        <f t="shared" si="3"/>
        <v>3056.1759999999999</v>
      </c>
      <c r="H24" s="271">
        <f t="shared" si="3"/>
        <v>3056.1759999999999</v>
      </c>
      <c r="I24" s="271">
        <f t="shared" si="3"/>
        <v>3056.1759999999999</v>
      </c>
      <c r="J24" s="271">
        <f t="shared" si="3"/>
        <v>2806.1759999999999</v>
      </c>
      <c r="K24" s="271">
        <f t="shared" si="3"/>
        <v>7806.1760000000004</v>
      </c>
      <c r="L24" s="271">
        <f t="shared" si="3"/>
        <v>7806.1760000000004</v>
      </c>
      <c r="M24" s="271">
        <f>SUM(M25:M29)</f>
        <v>7806.1760000000004</v>
      </c>
      <c r="N24" s="272">
        <f t="shared" si="3"/>
        <v>7806.1760000000004</v>
      </c>
    </row>
    <row r="25" spans="1:14" s="329" customFormat="1" ht="10.199999999999999" x14ac:dyDescent="0.2">
      <c r="A25" s="280"/>
      <c r="B25" s="116" t="s">
        <v>141</v>
      </c>
      <c r="C25" s="281">
        <v>509.10700000000003</v>
      </c>
      <c r="D25" s="281">
        <v>509.10700000000003</v>
      </c>
      <c r="E25" s="281">
        <v>509.10700000000003</v>
      </c>
      <c r="F25" s="281">
        <v>509.10700000000003</v>
      </c>
      <c r="G25" s="281">
        <v>509.10700000000003</v>
      </c>
      <c r="H25" s="281">
        <v>509.10700000000003</v>
      </c>
      <c r="I25" s="281">
        <v>509.10700000000003</v>
      </c>
      <c r="J25" s="281">
        <v>306.03100000000001</v>
      </c>
      <c r="K25" s="281">
        <v>307.55099999999999</v>
      </c>
      <c r="L25" s="281">
        <v>307.55099999999999</v>
      </c>
      <c r="M25" s="281">
        <v>307.55099999999999</v>
      </c>
      <c r="N25" s="282">
        <v>307.55099999999999</v>
      </c>
    </row>
    <row r="26" spans="1:14" s="329" customFormat="1" ht="10.199999999999999" x14ac:dyDescent="0.2">
      <c r="A26" s="280"/>
      <c r="B26" s="116" t="s">
        <v>136</v>
      </c>
      <c r="C26" s="281">
        <v>0</v>
      </c>
      <c r="D26" s="281">
        <v>0</v>
      </c>
      <c r="E26" s="281">
        <v>0</v>
      </c>
      <c r="F26" s="281">
        <v>0</v>
      </c>
      <c r="G26" s="281">
        <v>0</v>
      </c>
      <c r="H26" s="281">
        <v>0</v>
      </c>
      <c r="I26" s="281">
        <v>0</v>
      </c>
      <c r="J26" s="281">
        <v>0</v>
      </c>
      <c r="K26" s="281"/>
      <c r="L26" s="281">
        <v>0</v>
      </c>
      <c r="M26" s="281">
        <v>0</v>
      </c>
      <c r="N26" s="282">
        <v>0</v>
      </c>
    </row>
    <row r="27" spans="1:14" s="329" customFormat="1" ht="10.199999999999999" x14ac:dyDescent="0.2">
      <c r="A27" s="280"/>
      <c r="B27" s="116" t="s">
        <v>154</v>
      </c>
      <c r="C27" s="281">
        <v>0</v>
      </c>
      <c r="D27" s="281">
        <v>0</v>
      </c>
      <c r="E27" s="281">
        <v>0</v>
      </c>
      <c r="F27" s="281">
        <v>0</v>
      </c>
      <c r="G27" s="281">
        <v>0</v>
      </c>
      <c r="H27" s="281">
        <v>0</v>
      </c>
      <c r="I27" s="281">
        <v>0</v>
      </c>
      <c r="J27" s="281">
        <v>0</v>
      </c>
      <c r="K27" s="281"/>
      <c r="L27" s="281">
        <v>0</v>
      </c>
      <c r="M27" s="281">
        <v>0</v>
      </c>
      <c r="N27" s="282">
        <v>0</v>
      </c>
    </row>
    <row r="28" spans="1:14" s="329" customFormat="1" ht="10.199999999999999" x14ac:dyDescent="0.2">
      <c r="A28" s="280"/>
      <c r="B28" s="116" t="s">
        <v>155</v>
      </c>
      <c r="C28" s="281">
        <v>0</v>
      </c>
      <c r="D28" s="281">
        <v>0</v>
      </c>
      <c r="E28" s="281">
        <v>0</v>
      </c>
      <c r="F28" s="281">
        <v>0</v>
      </c>
      <c r="G28" s="281">
        <v>0</v>
      </c>
      <c r="H28" s="281">
        <v>0</v>
      </c>
      <c r="I28" s="281">
        <v>0</v>
      </c>
      <c r="J28" s="281">
        <v>0</v>
      </c>
      <c r="K28" s="281"/>
      <c r="L28" s="281">
        <v>0</v>
      </c>
      <c r="M28" s="281">
        <v>0</v>
      </c>
      <c r="N28" s="282">
        <v>0</v>
      </c>
    </row>
    <row r="29" spans="1:14" s="329" customFormat="1" ht="10.199999999999999" x14ac:dyDescent="0.2">
      <c r="A29" s="280"/>
      <c r="B29" s="116" t="s">
        <v>156</v>
      </c>
      <c r="C29" s="281">
        <f>2544.069+3</f>
        <v>2547.069</v>
      </c>
      <c r="D29" s="281">
        <f>2544.069+3</f>
        <v>2547.069</v>
      </c>
      <c r="E29" s="281">
        <f>2544.069+3</f>
        <v>2547.069</v>
      </c>
      <c r="F29" s="281">
        <f>2543.769+3.3</f>
        <v>2547.069</v>
      </c>
      <c r="G29" s="281">
        <f>2543.769+3.3</f>
        <v>2547.069</v>
      </c>
      <c r="H29" s="281">
        <f>2544.769+2.3</f>
        <v>2547.069</v>
      </c>
      <c r="I29" s="281">
        <f>2543.769+3.3</f>
        <v>2547.069</v>
      </c>
      <c r="J29" s="281">
        <f>2497.845+2.3</f>
        <v>2500.145</v>
      </c>
      <c r="K29" s="281">
        <f>7494.425+4.2</f>
        <v>7498.625</v>
      </c>
      <c r="L29" s="281">
        <f>7488.125+10.5</f>
        <v>7498.625</v>
      </c>
      <c r="M29" s="281">
        <f>7486.325+12.3</f>
        <v>7498.625</v>
      </c>
      <c r="N29" s="282">
        <f>7806.176-307.551</f>
        <v>7498.625</v>
      </c>
    </row>
    <row r="30" spans="1:14" s="329" customFormat="1" ht="10.199999999999999" x14ac:dyDescent="0.2">
      <c r="A30" s="269">
        <v>5</v>
      </c>
      <c r="B30" s="114" t="s">
        <v>157</v>
      </c>
      <c r="C30" s="347">
        <f t="shared" ref="C30:N30" si="4">SUM(C31:C32)</f>
        <v>215.02499999999998</v>
      </c>
      <c r="D30" s="347">
        <f t="shared" si="4"/>
        <v>215.02500000000001</v>
      </c>
      <c r="E30" s="347">
        <f t="shared" si="4"/>
        <v>215.02500000000001</v>
      </c>
      <c r="F30" s="347">
        <f t="shared" si="4"/>
        <v>215.02500000000001</v>
      </c>
      <c r="G30" s="347">
        <f t="shared" si="4"/>
        <v>215.02500000000001</v>
      </c>
      <c r="H30" s="347">
        <f t="shared" si="4"/>
        <v>215.02500000000001</v>
      </c>
      <c r="I30" s="347">
        <f t="shared" si="4"/>
        <v>215.02500000000001</v>
      </c>
      <c r="J30" s="347">
        <f t="shared" si="4"/>
        <v>215.02500000000001</v>
      </c>
      <c r="K30" s="347">
        <f t="shared" si="4"/>
        <v>297.10999999999996</v>
      </c>
      <c r="L30" s="347">
        <f t="shared" si="4"/>
        <v>377.10999999999996</v>
      </c>
      <c r="M30" s="347">
        <f>SUM(M31:M32)</f>
        <v>377.10999999999996</v>
      </c>
      <c r="N30" s="348">
        <f t="shared" si="4"/>
        <v>486.15999999999997</v>
      </c>
    </row>
    <row r="31" spans="1:14" s="329" customFormat="1" ht="10.199999999999999" x14ac:dyDescent="0.2">
      <c r="A31" s="280"/>
      <c r="B31" s="116" t="s">
        <v>135</v>
      </c>
      <c r="C31" s="349">
        <v>1.4999999999999999E-2</v>
      </c>
      <c r="D31" s="349">
        <v>2.5000000000000001E-2</v>
      </c>
      <c r="E31" s="349">
        <v>2.5000000000000001E-2</v>
      </c>
      <c r="F31" s="349">
        <v>2.5000000000000001E-2</v>
      </c>
      <c r="G31" s="349">
        <v>2.5000000000000001E-2</v>
      </c>
      <c r="H31" s="349">
        <v>2.5000000000000001E-2</v>
      </c>
      <c r="I31" s="349">
        <v>2.5000000000000001E-2</v>
      </c>
      <c r="J31" s="349">
        <v>2.5000000000000001E-2</v>
      </c>
      <c r="K31" s="349">
        <v>2.5000000000000001E-2</v>
      </c>
      <c r="L31" s="349">
        <v>2.5000000000000001E-2</v>
      </c>
      <c r="M31" s="349">
        <v>2.5000000000000001E-2</v>
      </c>
      <c r="N31" s="350">
        <v>0.01</v>
      </c>
    </row>
    <row r="32" spans="1:14" s="329" customFormat="1" ht="10.199999999999999" x14ac:dyDescent="0.2">
      <c r="A32" s="280"/>
      <c r="B32" s="116" t="s">
        <v>158</v>
      </c>
      <c r="C32" s="281">
        <v>215.01</v>
      </c>
      <c r="D32" s="281">
        <v>215</v>
      </c>
      <c r="E32" s="281">
        <v>215</v>
      </c>
      <c r="F32" s="281">
        <v>215</v>
      </c>
      <c r="G32" s="281">
        <v>215</v>
      </c>
      <c r="H32" s="281">
        <v>215</v>
      </c>
      <c r="I32" s="281">
        <v>215</v>
      </c>
      <c r="J32" s="281">
        <v>215</v>
      </c>
      <c r="K32" s="281">
        <f>296.585+0.5</f>
        <v>297.08499999999998</v>
      </c>
      <c r="L32" s="281">
        <f>376.435+0.65</f>
        <v>377.08499999999998</v>
      </c>
      <c r="M32" s="281">
        <f>376.435+0.65</f>
        <v>377.08499999999998</v>
      </c>
      <c r="N32" s="282">
        <f>486+0.15</f>
        <v>486.15</v>
      </c>
    </row>
    <row r="33" spans="1:14" s="329" customFormat="1" ht="10.199999999999999" x14ac:dyDescent="0.2">
      <c r="A33" s="269">
        <v>6</v>
      </c>
      <c r="B33" s="114" t="s">
        <v>115</v>
      </c>
      <c r="C33" s="271">
        <f t="shared" ref="C33:K33" si="5">SUM(C34:C36)</f>
        <v>0</v>
      </c>
      <c r="D33" s="271">
        <f t="shared" si="5"/>
        <v>0</v>
      </c>
      <c r="E33" s="271">
        <f t="shared" si="5"/>
        <v>0</v>
      </c>
      <c r="F33" s="271">
        <f t="shared" si="5"/>
        <v>0</v>
      </c>
      <c r="G33" s="271">
        <f t="shared" si="5"/>
        <v>0</v>
      </c>
      <c r="H33" s="271">
        <f t="shared" si="5"/>
        <v>0</v>
      </c>
      <c r="I33" s="271">
        <f t="shared" si="5"/>
        <v>0</v>
      </c>
      <c r="J33" s="271">
        <f t="shared" si="5"/>
        <v>0</v>
      </c>
      <c r="K33" s="271">
        <f t="shared" si="5"/>
        <v>0</v>
      </c>
      <c r="L33" s="271">
        <v>0</v>
      </c>
      <c r="M33" s="271">
        <v>0</v>
      </c>
      <c r="N33" s="272"/>
    </row>
    <row r="34" spans="1:14" s="329" customFormat="1" ht="10.199999999999999" x14ac:dyDescent="0.2">
      <c r="A34" s="280"/>
      <c r="B34" s="116" t="s">
        <v>135</v>
      </c>
      <c r="C34" s="281">
        <v>0</v>
      </c>
      <c r="D34" s="281">
        <v>0</v>
      </c>
      <c r="E34" s="281">
        <v>0</v>
      </c>
      <c r="F34" s="281">
        <v>0</v>
      </c>
      <c r="G34" s="281">
        <v>0</v>
      </c>
      <c r="H34" s="281">
        <v>0</v>
      </c>
      <c r="I34" s="281">
        <v>0</v>
      </c>
      <c r="J34" s="281">
        <v>0</v>
      </c>
      <c r="K34" s="281">
        <v>0</v>
      </c>
      <c r="L34" s="281">
        <v>0</v>
      </c>
      <c r="M34" s="281">
        <v>0</v>
      </c>
      <c r="N34" s="282">
        <v>0</v>
      </c>
    </row>
    <row r="35" spans="1:14" s="329" customFormat="1" ht="10.199999999999999" x14ac:dyDescent="0.2">
      <c r="A35" s="280"/>
      <c r="B35" s="116" t="s">
        <v>159</v>
      </c>
      <c r="C35" s="281">
        <v>0</v>
      </c>
      <c r="D35" s="281">
        <v>0</v>
      </c>
      <c r="E35" s="281">
        <v>0</v>
      </c>
      <c r="F35" s="281">
        <v>0</v>
      </c>
      <c r="G35" s="281">
        <v>0</v>
      </c>
      <c r="H35" s="281">
        <v>0</v>
      </c>
      <c r="I35" s="281">
        <v>0</v>
      </c>
      <c r="J35" s="281">
        <v>0</v>
      </c>
      <c r="K35" s="281">
        <v>0</v>
      </c>
      <c r="L35" s="281">
        <v>0</v>
      </c>
      <c r="M35" s="281">
        <v>0</v>
      </c>
      <c r="N35" s="282">
        <v>0</v>
      </c>
    </row>
    <row r="36" spans="1:14" s="329" customFormat="1" ht="10.199999999999999" x14ac:dyDescent="0.2">
      <c r="A36" s="280"/>
      <c r="B36" s="116" t="s">
        <v>140</v>
      </c>
      <c r="C36" s="281">
        <v>0</v>
      </c>
      <c r="D36" s="281">
        <v>0</v>
      </c>
      <c r="E36" s="281">
        <v>0</v>
      </c>
      <c r="F36" s="281">
        <v>0</v>
      </c>
      <c r="G36" s="281">
        <v>0</v>
      </c>
      <c r="H36" s="281">
        <v>0</v>
      </c>
      <c r="I36" s="281">
        <v>0</v>
      </c>
      <c r="J36" s="281">
        <v>0</v>
      </c>
      <c r="K36" s="281">
        <v>0</v>
      </c>
      <c r="L36" s="281">
        <v>0</v>
      </c>
      <c r="M36" s="281">
        <v>0</v>
      </c>
      <c r="N36" s="282">
        <v>0</v>
      </c>
    </row>
    <row r="37" spans="1:14" s="329" customFormat="1" ht="10.199999999999999" x14ac:dyDescent="0.2">
      <c r="A37" s="269"/>
      <c r="B37" s="114" t="s">
        <v>147</v>
      </c>
      <c r="C37" s="271">
        <f t="shared" ref="C37:N37" si="6">+C6+C12+C18+C24+C30+C33</f>
        <v>196785.788</v>
      </c>
      <c r="D37" s="271">
        <f t="shared" si="6"/>
        <v>191336.788</v>
      </c>
      <c r="E37" s="271">
        <f t="shared" si="6"/>
        <v>191336.78800000003</v>
      </c>
      <c r="F37" s="271">
        <f t="shared" si="6"/>
        <v>191336.78800000003</v>
      </c>
      <c r="G37" s="271">
        <f t="shared" si="6"/>
        <v>186186.78800000003</v>
      </c>
      <c r="H37" s="271">
        <f t="shared" si="6"/>
        <v>181186.788</v>
      </c>
      <c r="I37" s="271">
        <f t="shared" si="6"/>
        <v>177186.788</v>
      </c>
      <c r="J37" s="271">
        <f t="shared" si="6"/>
        <v>183986.788</v>
      </c>
      <c r="K37" s="271">
        <f t="shared" si="6"/>
        <v>213068.87299999999</v>
      </c>
      <c r="L37" s="271">
        <f t="shared" si="6"/>
        <v>253148.87299999996</v>
      </c>
      <c r="M37" s="271">
        <f>+M6+M12+M18+M24+M30+M33</f>
        <v>258148.87299999996</v>
      </c>
      <c r="N37" s="272">
        <f t="shared" si="6"/>
        <v>234157.92299999998</v>
      </c>
    </row>
    <row r="38" spans="1:14" s="329" customFormat="1" ht="10.199999999999999" x14ac:dyDescent="0.2">
      <c r="A38" s="269">
        <v>7</v>
      </c>
      <c r="B38" s="114" t="s">
        <v>166</v>
      </c>
      <c r="C38" s="271">
        <f t="shared" ref="C38:N38" si="7">C39</f>
        <v>-73831</v>
      </c>
      <c r="D38" s="271">
        <f t="shared" si="7"/>
        <v>-85762.3</v>
      </c>
      <c r="E38" s="271">
        <f t="shared" si="7"/>
        <v>-84617.600000000006</v>
      </c>
      <c r="F38" s="271">
        <f t="shared" si="7"/>
        <v>-80815.5</v>
      </c>
      <c r="G38" s="271">
        <f t="shared" si="7"/>
        <v>-82076.899999999994</v>
      </c>
      <c r="H38" s="271">
        <f t="shared" si="7"/>
        <v>-81894.8</v>
      </c>
      <c r="I38" s="271">
        <f t="shared" si="7"/>
        <v>-76197.399999999994</v>
      </c>
      <c r="J38" s="271">
        <f t="shared" si="7"/>
        <v>-96088.2</v>
      </c>
      <c r="K38" s="271">
        <f t="shared" si="7"/>
        <v>-150768.79999999999</v>
      </c>
      <c r="L38" s="271">
        <f t="shared" si="7"/>
        <v>-210216.2</v>
      </c>
      <c r="M38" s="271">
        <f>M39</f>
        <v>-217465.7</v>
      </c>
      <c r="N38" s="272">
        <f t="shared" si="7"/>
        <v>-127379.8</v>
      </c>
    </row>
    <row r="39" spans="1:14" s="329" customFormat="1" ht="10.199999999999999" x14ac:dyDescent="0.2">
      <c r="A39" s="280"/>
      <c r="B39" s="116" t="s">
        <v>167</v>
      </c>
      <c r="C39" s="351">
        <v>-73831</v>
      </c>
      <c r="D39" s="351">
        <v>-85762.3</v>
      </c>
      <c r="E39" s="351">
        <v>-84617.600000000006</v>
      </c>
      <c r="F39" s="351">
        <v>-80815.5</v>
      </c>
      <c r="G39" s="351">
        <v>-82076.899999999994</v>
      </c>
      <c r="H39" s="351">
        <v>-81894.8</v>
      </c>
      <c r="I39" s="351">
        <v>-76197.399999999994</v>
      </c>
      <c r="J39" s="351">
        <v>-96088.2</v>
      </c>
      <c r="K39" s="351">
        <v>-150768.79999999999</v>
      </c>
      <c r="L39" s="351">
        <v>-210216.2</v>
      </c>
      <c r="M39" s="351">
        <v>-217465.7</v>
      </c>
      <c r="N39" s="334">
        <v>-127379.8</v>
      </c>
    </row>
    <row r="40" spans="1:14" s="329" customFormat="1" ht="10.199999999999999" x14ac:dyDescent="0.2">
      <c r="A40" s="269"/>
      <c r="B40" s="114" t="s">
        <v>147</v>
      </c>
      <c r="C40" s="271">
        <f t="shared" ref="C40:N40" si="8">SUM(C41:C45)</f>
        <v>122954.788</v>
      </c>
      <c r="D40" s="271">
        <f t="shared" si="8"/>
        <v>105574.48799999998</v>
      </c>
      <c r="E40" s="271">
        <f t="shared" si="8"/>
        <v>106719.18799999999</v>
      </c>
      <c r="F40" s="271">
        <f t="shared" si="8"/>
        <v>110521.288</v>
      </c>
      <c r="G40" s="271">
        <f t="shared" si="8"/>
        <v>104109.88800000001</v>
      </c>
      <c r="H40" s="271">
        <f t="shared" si="8"/>
        <v>99291.987999999998</v>
      </c>
      <c r="I40" s="271">
        <f t="shared" si="8"/>
        <v>100989.38800000001</v>
      </c>
      <c r="J40" s="271">
        <f t="shared" si="8"/>
        <v>87898.588000000003</v>
      </c>
      <c r="K40" s="271">
        <f t="shared" si="8"/>
        <v>62300.073000000019</v>
      </c>
      <c r="L40" s="271">
        <f t="shared" si="8"/>
        <v>42932.672999999973</v>
      </c>
      <c r="M40" s="271">
        <f>SUM(M41:M45)</f>
        <v>40683.172999999973</v>
      </c>
      <c r="N40" s="272">
        <f t="shared" si="8"/>
        <v>106778.12299999998</v>
      </c>
    </row>
    <row r="41" spans="1:14" s="329" customFormat="1" ht="10.199999999999999" x14ac:dyDescent="0.2">
      <c r="A41" s="280"/>
      <c r="B41" s="116" t="s">
        <v>135</v>
      </c>
      <c r="C41" s="281">
        <f t="shared" ref="C41:N41" si="9">C7+C13+C19+C25+C31+C34+C39</f>
        <v>-60731.576000000001</v>
      </c>
      <c r="D41" s="281">
        <f t="shared" si="9"/>
        <v>-73311.066000000006</v>
      </c>
      <c r="E41" s="281">
        <f t="shared" si="9"/>
        <v>-72166.366000000009</v>
      </c>
      <c r="F41" s="281">
        <f t="shared" si="9"/>
        <v>-64464.266000000003</v>
      </c>
      <c r="G41" s="281">
        <f t="shared" si="9"/>
        <v>-65725.665999999997</v>
      </c>
      <c r="H41" s="281">
        <f t="shared" si="9"/>
        <v>-65543.566000000006</v>
      </c>
      <c r="I41" s="281">
        <f t="shared" si="9"/>
        <v>-59859.635999999991</v>
      </c>
      <c r="J41" s="281">
        <f t="shared" si="9"/>
        <v>-79753.511999999988</v>
      </c>
      <c r="K41" s="281">
        <f t="shared" si="9"/>
        <v>-134415.19199999998</v>
      </c>
      <c r="L41" s="281">
        <f t="shared" si="9"/>
        <v>-193778.79200000002</v>
      </c>
      <c r="M41" s="281">
        <f>M7+M13+M19+M25+M31+M34+M39</f>
        <v>-201026.79200000002</v>
      </c>
      <c r="N41" s="282">
        <f t="shared" si="9"/>
        <v>-110971.00700000001</v>
      </c>
    </row>
    <row r="42" spans="1:14" s="329" customFormat="1" ht="10.199999999999999" x14ac:dyDescent="0.2">
      <c r="A42" s="280"/>
      <c r="B42" s="116" t="s">
        <v>136</v>
      </c>
      <c r="C42" s="281">
        <f t="shared" ref="C42:L42" si="10">C8+C14+C20+C26+C35</f>
        <v>141592.75</v>
      </c>
      <c r="D42" s="281">
        <f t="shared" si="10"/>
        <v>134422.17499999999</v>
      </c>
      <c r="E42" s="281">
        <f t="shared" si="10"/>
        <v>130763.3</v>
      </c>
      <c r="F42" s="281">
        <f t="shared" si="10"/>
        <v>126688.3</v>
      </c>
      <c r="G42" s="281">
        <f t="shared" si="10"/>
        <v>121242.05</v>
      </c>
      <c r="H42" s="281">
        <f t="shared" si="10"/>
        <v>117993.375</v>
      </c>
      <c r="I42" s="281">
        <f t="shared" si="10"/>
        <v>117228.375</v>
      </c>
      <c r="J42" s="281">
        <f t="shared" si="10"/>
        <v>122811.875</v>
      </c>
      <c r="K42" s="281">
        <f t="shared" si="10"/>
        <v>143232.875</v>
      </c>
      <c r="L42" s="281">
        <f t="shared" si="10"/>
        <v>178498.52499999999</v>
      </c>
      <c r="M42" s="281">
        <f>M8+M14+M20+M26+M35</f>
        <v>185263.52499999999</v>
      </c>
      <c r="N42" s="282">
        <f>N8+N14+N20+N26+N35</f>
        <v>176963.02499999999</v>
      </c>
    </row>
    <row r="43" spans="1:14" s="329" customFormat="1" ht="10.199999999999999" x14ac:dyDescent="0.2">
      <c r="A43" s="280"/>
      <c r="B43" s="116" t="s">
        <v>154</v>
      </c>
      <c r="C43" s="281">
        <f t="shared" ref="C43:L44" si="11">C9+C15+C21+C27</f>
        <v>3318.15</v>
      </c>
      <c r="D43" s="281">
        <f t="shared" si="11"/>
        <v>3628.15</v>
      </c>
      <c r="E43" s="281">
        <f t="shared" si="11"/>
        <v>3605.6</v>
      </c>
      <c r="F43" s="281">
        <f t="shared" si="11"/>
        <v>3795.6</v>
      </c>
      <c r="G43" s="281">
        <f t="shared" si="11"/>
        <v>3550.6</v>
      </c>
      <c r="H43" s="281">
        <f t="shared" si="11"/>
        <v>3597.2750000000001</v>
      </c>
      <c r="I43" s="281">
        <f t="shared" si="11"/>
        <v>3414.7750000000001</v>
      </c>
      <c r="J43" s="281">
        <f t="shared" si="11"/>
        <v>3484.7750000000001</v>
      </c>
      <c r="K43" s="281">
        <f t="shared" si="11"/>
        <v>5248.7000000000007</v>
      </c>
      <c r="L43" s="281">
        <f t="shared" si="11"/>
        <v>6093.0499999999993</v>
      </c>
      <c r="M43" s="281">
        <f>M9+M15+M21+M27</f>
        <v>5743.0499999999993</v>
      </c>
      <c r="N43" s="282">
        <f>N9+N15+N21+N27</f>
        <v>5561.0499999999993</v>
      </c>
    </row>
    <row r="44" spans="1:14" s="329" customFormat="1" ht="10.199999999999999" x14ac:dyDescent="0.2">
      <c r="A44" s="280"/>
      <c r="B44" s="116" t="s">
        <v>155</v>
      </c>
      <c r="C44" s="281">
        <f t="shared" si="11"/>
        <v>2986.95</v>
      </c>
      <c r="D44" s="281">
        <f t="shared" si="11"/>
        <v>4372.5249999999996</v>
      </c>
      <c r="E44" s="281">
        <f t="shared" si="11"/>
        <v>4719.45</v>
      </c>
      <c r="F44" s="281">
        <f t="shared" si="11"/>
        <v>4704.45</v>
      </c>
      <c r="G44" s="281">
        <f t="shared" si="11"/>
        <v>4926.2</v>
      </c>
      <c r="H44" s="281">
        <f t="shared" si="11"/>
        <v>4319.2</v>
      </c>
      <c r="I44" s="281">
        <f t="shared" si="11"/>
        <v>4314.2</v>
      </c>
      <c r="J44" s="281">
        <f t="shared" si="11"/>
        <v>3726.45</v>
      </c>
      <c r="K44" s="281">
        <f t="shared" si="11"/>
        <v>3250.5250000000001</v>
      </c>
      <c r="L44" s="281">
        <f t="shared" si="11"/>
        <v>3993.0250000000001</v>
      </c>
      <c r="M44" s="281">
        <f>M10+M16+M22+M28</f>
        <v>3988.0250000000001</v>
      </c>
      <c r="N44" s="282">
        <f>N10+N16+N22+N28</f>
        <v>3845.0250000000001</v>
      </c>
    </row>
    <row r="45" spans="1:14" s="329" customFormat="1" ht="10.199999999999999" x14ac:dyDescent="0.2">
      <c r="A45" s="280"/>
      <c r="B45" s="116" t="s">
        <v>156</v>
      </c>
      <c r="C45" s="281">
        <f t="shared" ref="C45:J45" si="12">C11+C17+C23+C29+C36+C32</f>
        <v>35788.514000000003</v>
      </c>
      <c r="D45" s="281">
        <f t="shared" si="12"/>
        <v>36462.703999999998</v>
      </c>
      <c r="E45" s="281">
        <f t="shared" si="12"/>
        <v>39797.203999999998</v>
      </c>
      <c r="F45" s="281">
        <f t="shared" si="12"/>
        <v>39797.204000000005</v>
      </c>
      <c r="G45" s="281">
        <f t="shared" si="12"/>
        <v>40116.704000000005</v>
      </c>
      <c r="H45" s="281">
        <f t="shared" si="12"/>
        <v>38925.704000000005</v>
      </c>
      <c r="I45" s="281">
        <f t="shared" si="12"/>
        <v>35891.673999999999</v>
      </c>
      <c r="J45" s="281">
        <f t="shared" si="12"/>
        <v>37628.999999999993</v>
      </c>
      <c r="K45" s="281">
        <f>K11+K17+K23+K29+K36+K32</f>
        <v>44983.165000000001</v>
      </c>
      <c r="L45" s="281">
        <f>L11+L17+L23+L29+L36+L32</f>
        <v>48126.864999999998</v>
      </c>
      <c r="M45" s="281">
        <f>M11+M17+M23+M29+M36+M32</f>
        <v>46715.364999999998</v>
      </c>
      <c r="N45" s="282">
        <f>N11+N17+N23+N29+N36+N32</f>
        <v>31380.03</v>
      </c>
    </row>
    <row r="46" spans="1:14" s="329" customFormat="1" ht="21" thickBot="1" x14ac:dyDescent="0.25">
      <c r="A46" s="305"/>
      <c r="B46" s="338" t="s">
        <v>161</v>
      </c>
      <c r="C46" s="339">
        <f t="shared" ref="C46:N46" si="13">C40-C38</f>
        <v>196785.788</v>
      </c>
      <c r="D46" s="339">
        <f t="shared" si="13"/>
        <v>191336.788</v>
      </c>
      <c r="E46" s="339">
        <f t="shared" si="13"/>
        <v>191336.788</v>
      </c>
      <c r="F46" s="352">
        <f t="shared" si="13"/>
        <v>191336.788</v>
      </c>
      <c r="G46" s="352">
        <f t="shared" si="13"/>
        <v>186186.788</v>
      </c>
      <c r="H46" s="352">
        <f t="shared" si="13"/>
        <v>181186.788</v>
      </c>
      <c r="I46" s="352">
        <f t="shared" si="13"/>
        <v>177186.788</v>
      </c>
      <c r="J46" s="352">
        <f t="shared" si="13"/>
        <v>183986.788</v>
      </c>
      <c r="K46" s="352">
        <f t="shared" si="13"/>
        <v>213068.87300000002</v>
      </c>
      <c r="L46" s="352">
        <f t="shared" si="13"/>
        <v>253148.87299999999</v>
      </c>
      <c r="M46" s="352">
        <f>M40-M38</f>
        <v>258148.87299999999</v>
      </c>
      <c r="N46" s="353">
        <f t="shared" si="13"/>
        <v>234157.92299999998</v>
      </c>
    </row>
    <row r="47" spans="1:14" s="329" customFormat="1" ht="10.8" thickTop="1" x14ac:dyDescent="0.2">
      <c r="A47" s="342" t="s">
        <v>162</v>
      </c>
      <c r="B47" s="325"/>
    </row>
    <row r="48" spans="1:14" s="329" customFormat="1" ht="10.199999999999999" x14ac:dyDescent="0.2">
      <c r="A48" s="342" t="s">
        <v>163</v>
      </c>
      <c r="B48" s="325"/>
    </row>
    <row r="49" s="329" customFormat="1" ht="10.199999999999999" x14ac:dyDescent="0.2"/>
  </sheetData>
  <mergeCells count="5">
    <mergeCell ref="A1:N1"/>
    <mergeCell ref="A2:B2"/>
    <mergeCell ref="A3:N3"/>
    <mergeCell ref="A4:B5"/>
    <mergeCell ref="C4:N4"/>
  </mergeCells>
  <hyperlinks>
    <hyperlink ref="A47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topLeftCell="A19" zoomScale="120" zoomScaleNormal="120" workbookViewId="0">
      <selection activeCell="L31" sqref="L31"/>
    </sheetView>
  </sheetViews>
  <sheetFormatPr defaultRowHeight="13.2" x14ac:dyDescent="0.25"/>
  <cols>
    <col min="1" max="1" width="6.33203125" style="354" customWidth="1"/>
    <col min="2" max="2" width="25" style="354" customWidth="1"/>
    <col min="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170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169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f t="shared" ref="C7:N7" si="0">SUM(C8:C12)</f>
        <v>116059.10699999999</v>
      </c>
      <c r="D7" s="368">
        <f t="shared" si="0"/>
        <v>116059.09999999999</v>
      </c>
      <c r="E7" s="368">
        <f t="shared" si="0"/>
        <v>116059.09999999999</v>
      </c>
      <c r="F7" s="389">
        <f t="shared" si="0"/>
        <v>116059</v>
      </c>
      <c r="G7" s="389">
        <f t="shared" si="0"/>
        <v>109359</v>
      </c>
      <c r="H7" s="389">
        <f t="shared" si="0"/>
        <v>109359.09999999999</v>
      </c>
      <c r="I7" s="389">
        <f t="shared" si="0"/>
        <v>104009.3</v>
      </c>
      <c r="J7" s="389">
        <f t="shared" si="0"/>
        <v>103009.3</v>
      </c>
      <c r="K7" s="389">
        <f t="shared" si="0"/>
        <v>111009.3</v>
      </c>
      <c r="L7" s="389">
        <f t="shared" si="0"/>
        <v>121009.3</v>
      </c>
      <c r="M7" s="389">
        <f t="shared" si="0"/>
        <v>124714.30000000002</v>
      </c>
      <c r="N7" s="388">
        <f t="shared" si="0"/>
        <v>110409.30000000002</v>
      </c>
    </row>
    <row r="8" spans="1:14" s="355" customFormat="1" ht="10.199999999999999" x14ac:dyDescent="0.2">
      <c r="A8" s="366"/>
      <c r="B8" s="365" t="s">
        <v>135</v>
      </c>
      <c r="C8" s="364">
        <v>16099.932000000001</v>
      </c>
      <c r="D8" s="364">
        <v>16019.9</v>
      </c>
      <c r="E8" s="364">
        <v>16219.9</v>
      </c>
      <c r="F8" s="364">
        <v>16369.9</v>
      </c>
      <c r="G8" s="364">
        <v>16369.9</v>
      </c>
      <c r="H8" s="364">
        <v>16169.9</v>
      </c>
      <c r="I8" s="364">
        <v>17417.400000000001</v>
      </c>
      <c r="J8" s="364">
        <v>28872.400000000001</v>
      </c>
      <c r="K8" s="364">
        <v>49817.4</v>
      </c>
      <c r="L8" s="364">
        <v>49817.4</v>
      </c>
      <c r="M8" s="364">
        <v>47687.4</v>
      </c>
      <c r="N8" s="363">
        <v>30457.4</v>
      </c>
    </row>
    <row r="9" spans="1:14" s="355" customFormat="1" ht="10.199999999999999" x14ac:dyDescent="0.2">
      <c r="A9" s="366"/>
      <c r="B9" s="365" t="s">
        <v>136</v>
      </c>
      <c r="C9" s="364">
        <v>97899.524999999994</v>
      </c>
      <c r="D9" s="364">
        <v>98423.3</v>
      </c>
      <c r="E9" s="364">
        <v>98123.3</v>
      </c>
      <c r="F9" s="364">
        <v>98170.1</v>
      </c>
      <c r="G9" s="364">
        <v>91826.6</v>
      </c>
      <c r="H9" s="364">
        <v>91900.4</v>
      </c>
      <c r="I9" s="364">
        <v>85223.1</v>
      </c>
      <c r="J9" s="364">
        <v>73503.100000000006</v>
      </c>
      <c r="K9" s="364">
        <v>60740.6</v>
      </c>
      <c r="L9" s="364">
        <v>70870.600000000006</v>
      </c>
      <c r="M9" s="364">
        <v>76673.8</v>
      </c>
      <c r="N9" s="363">
        <v>79538.8</v>
      </c>
    </row>
    <row r="10" spans="1:14" s="355" customFormat="1" ht="10.199999999999999" x14ac:dyDescent="0.2">
      <c r="A10" s="366"/>
      <c r="B10" s="365" t="s">
        <v>154</v>
      </c>
      <c r="C10" s="364">
        <v>444.4</v>
      </c>
      <c r="D10" s="364">
        <v>834.4</v>
      </c>
      <c r="E10" s="364">
        <v>934.4</v>
      </c>
      <c r="F10" s="364">
        <v>707.5</v>
      </c>
      <c r="G10" s="364">
        <v>367.5</v>
      </c>
      <c r="H10" s="364">
        <v>493.8</v>
      </c>
      <c r="I10" s="364">
        <v>623.79999999999995</v>
      </c>
      <c r="J10" s="364">
        <v>563.79999999999995</v>
      </c>
      <c r="K10" s="364">
        <v>381.3</v>
      </c>
      <c r="L10" s="364">
        <v>251.3</v>
      </c>
      <c r="M10" s="364">
        <v>213.1</v>
      </c>
      <c r="N10" s="363">
        <v>343.1</v>
      </c>
    </row>
    <row r="11" spans="1:14" s="355" customFormat="1" ht="10.199999999999999" x14ac:dyDescent="0.2">
      <c r="A11" s="366"/>
      <c r="B11" s="365" t="s">
        <v>155</v>
      </c>
      <c r="C11" s="364">
        <v>111.5</v>
      </c>
      <c r="D11" s="364">
        <v>106.5</v>
      </c>
      <c r="E11" s="364">
        <v>106.5</v>
      </c>
      <c r="F11" s="364">
        <v>136.5</v>
      </c>
      <c r="G11" s="364">
        <v>120</v>
      </c>
      <c r="H11" s="364">
        <v>120</v>
      </c>
      <c r="I11" s="364">
        <v>70</v>
      </c>
      <c r="J11" s="364">
        <v>70</v>
      </c>
      <c r="K11" s="364">
        <v>70</v>
      </c>
      <c r="L11" s="364">
        <v>70</v>
      </c>
      <c r="M11" s="364">
        <v>140</v>
      </c>
      <c r="N11" s="363">
        <v>70</v>
      </c>
    </row>
    <row r="12" spans="1:14" s="355" customFormat="1" ht="10.199999999999999" x14ac:dyDescent="0.2">
      <c r="A12" s="366"/>
      <c r="B12" s="365" t="s">
        <v>156</v>
      </c>
      <c r="C12" s="364">
        <v>1503.75</v>
      </c>
      <c r="D12" s="364">
        <v>675</v>
      </c>
      <c r="E12" s="364">
        <v>675</v>
      </c>
      <c r="F12" s="364">
        <v>675</v>
      </c>
      <c r="G12" s="364">
        <v>675</v>
      </c>
      <c r="H12" s="364">
        <v>675</v>
      </c>
      <c r="I12" s="364">
        <v>675</v>
      </c>
      <c r="J12" s="364">
        <v>0</v>
      </c>
      <c r="K12" s="364">
        <v>0</v>
      </c>
      <c r="L12" s="364"/>
      <c r="M12" s="364">
        <v>0</v>
      </c>
      <c r="N12" s="363">
        <v>0</v>
      </c>
    </row>
    <row r="13" spans="1:14" s="355" customFormat="1" ht="10.199999999999999" x14ac:dyDescent="0.2">
      <c r="A13" s="370">
        <v>2</v>
      </c>
      <c r="B13" s="369" t="s">
        <v>112</v>
      </c>
      <c r="C13" s="368">
        <f t="shared" ref="C13:N13" si="1">SUM(C14:C18)</f>
        <v>108899.99999999999</v>
      </c>
      <c r="D13" s="368">
        <f t="shared" si="1"/>
        <v>108900</v>
      </c>
      <c r="E13" s="368">
        <f t="shared" si="1"/>
        <v>108900.1</v>
      </c>
      <c r="F13" s="368">
        <f t="shared" si="1"/>
        <v>108900.1</v>
      </c>
      <c r="G13" s="368">
        <f t="shared" si="1"/>
        <v>108899.97499999999</v>
      </c>
      <c r="H13" s="368">
        <f t="shared" si="1"/>
        <v>108899.97499999999</v>
      </c>
      <c r="I13" s="368">
        <f t="shared" si="1"/>
        <v>108900</v>
      </c>
      <c r="J13" s="368">
        <f t="shared" si="1"/>
        <v>115900</v>
      </c>
      <c r="K13" s="368">
        <f t="shared" si="1"/>
        <v>125900</v>
      </c>
      <c r="L13" s="368">
        <f t="shared" si="1"/>
        <v>143900</v>
      </c>
      <c r="M13" s="368">
        <f t="shared" si="1"/>
        <v>143900.1</v>
      </c>
      <c r="N13" s="367">
        <f t="shared" si="1"/>
        <v>163900</v>
      </c>
    </row>
    <row r="14" spans="1:14" s="355" customFormat="1" ht="10.199999999999999" x14ac:dyDescent="0.2">
      <c r="A14" s="366"/>
      <c r="B14" s="365" t="s">
        <v>135</v>
      </c>
      <c r="C14" s="364">
        <v>0</v>
      </c>
      <c r="D14" s="364">
        <v>0</v>
      </c>
      <c r="E14" s="364">
        <v>0</v>
      </c>
      <c r="F14" s="364">
        <v>0</v>
      </c>
      <c r="G14" s="364">
        <v>0</v>
      </c>
      <c r="H14" s="364">
        <v>0</v>
      </c>
      <c r="I14" s="364">
        <v>4140</v>
      </c>
      <c r="J14" s="364">
        <v>8942</v>
      </c>
      <c r="K14" s="364">
        <v>8942</v>
      </c>
      <c r="L14" s="364">
        <v>8942</v>
      </c>
      <c r="M14" s="364">
        <v>8942</v>
      </c>
      <c r="N14" s="363">
        <v>8942</v>
      </c>
    </row>
    <row r="15" spans="1:14" s="355" customFormat="1" ht="10.199999999999999" x14ac:dyDescent="0.2">
      <c r="A15" s="366"/>
      <c r="B15" s="365" t="s">
        <v>136</v>
      </c>
      <c r="C15" s="364">
        <v>79063.5</v>
      </c>
      <c r="D15" s="364">
        <v>79063.5</v>
      </c>
      <c r="E15" s="364">
        <v>79063.5</v>
      </c>
      <c r="F15" s="364">
        <v>79063.5</v>
      </c>
      <c r="G15" s="364">
        <v>79063.5</v>
      </c>
      <c r="H15" s="364">
        <v>79063.5</v>
      </c>
      <c r="I15" s="364">
        <v>74923.5</v>
      </c>
      <c r="J15" s="364">
        <v>77020</v>
      </c>
      <c r="K15" s="364">
        <v>86360.5</v>
      </c>
      <c r="L15" s="364">
        <v>103878.3</v>
      </c>
      <c r="M15" s="364">
        <v>103878.3</v>
      </c>
      <c r="N15" s="363">
        <v>123523</v>
      </c>
    </row>
    <row r="16" spans="1:14" s="355" customFormat="1" ht="10.199999999999999" x14ac:dyDescent="0.2">
      <c r="A16" s="366"/>
      <c r="B16" s="365" t="s">
        <v>154</v>
      </c>
      <c r="C16" s="364">
        <v>5116.6499999999996</v>
      </c>
      <c r="D16" s="364">
        <v>5116.6000000000004</v>
      </c>
      <c r="E16" s="364">
        <v>5116.7</v>
      </c>
      <c r="F16" s="364">
        <v>5116.7</v>
      </c>
      <c r="G16" s="364">
        <v>5116.6499999999996</v>
      </c>
      <c r="H16" s="364">
        <v>5116.6499999999996</v>
      </c>
      <c r="I16" s="364">
        <v>5116.7</v>
      </c>
      <c r="J16" s="364">
        <v>5116.7</v>
      </c>
      <c r="K16" s="364">
        <v>5736.7</v>
      </c>
      <c r="L16" s="364">
        <v>6186.7</v>
      </c>
      <c r="M16" s="364">
        <v>6186.7</v>
      </c>
      <c r="N16" s="363">
        <v>6471.7</v>
      </c>
    </row>
    <row r="17" spans="1:14" s="355" customFormat="1" ht="10.199999999999999" x14ac:dyDescent="0.2">
      <c r="A17" s="366"/>
      <c r="B17" s="365" t="s">
        <v>155</v>
      </c>
      <c r="C17" s="364">
        <v>3733.5250000000001</v>
      </c>
      <c r="D17" s="364">
        <v>3733.5</v>
      </c>
      <c r="E17" s="364">
        <v>3733.5</v>
      </c>
      <c r="F17" s="364">
        <v>3733.5</v>
      </c>
      <c r="G17" s="364">
        <v>3733.5</v>
      </c>
      <c r="H17" s="364">
        <v>3733.5</v>
      </c>
      <c r="I17" s="364">
        <v>3733.5</v>
      </c>
      <c r="J17" s="364">
        <v>3820</v>
      </c>
      <c r="K17" s="364">
        <v>3854.5</v>
      </c>
      <c r="L17" s="364">
        <v>3878</v>
      </c>
      <c r="M17" s="364">
        <v>3878</v>
      </c>
      <c r="N17" s="363">
        <v>3948.3</v>
      </c>
    </row>
    <row r="18" spans="1:14" s="355" customFormat="1" ht="10.199999999999999" x14ac:dyDescent="0.2">
      <c r="A18" s="366"/>
      <c r="B18" s="365" t="s">
        <v>140</v>
      </c>
      <c r="C18" s="364">
        <v>20986.324999999997</v>
      </c>
      <c r="D18" s="364">
        <v>20986.400000000001</v>
      </c>
      <c r="E18" s="364">
        <v>20986.400000000001</v>
      </c>
      <c r="F18" s="364">
        <v>20986.400000000001</v>
      </c>
      <c r="G18" s="364">
        <v>20986.325000000001</v>
      </c>
      <c r="H18" s="364">
        <v>20986.324999999997</v>
      </c>
      <c r="I18" s="364">
        <v>20986.300000000003</v>
      </c>
      <c r="J18" s="364">
        <v>21001.300000000003</v>
      </c>
      <c r="K18" s="364">
        <v>21006.300000000003</v>
      </c>
      <c r="L18" s="364">
        <v>21015</v>
      </c>
      <c r="M18" s="364">
        <v>21015.1</v>
      </c>
      <c r="N18" s="363">
        <v>21015</v>
      </c>
    </row>
    <row r="19" spans="1:14" s="355" customFormat="1" ht="10.199999999999999" x14ac:dyDescent="0.2">
      <c r="A19" s="370">
        <v>3</v>
      </c>
      <c r="B19" s="369" t="s">
        <v>113</v>
      </c>
      <c r="C19" s="368">
        <f t="shared" ref="C19:N19" si="2">SUM(C20:C24)</f>
        <v>906.48</v>
      </c>
      <c r="D19" s="368">
        <f t="shared" si="2"/>
        <v>906.5</v>
      </c>
      <c r="E19" s="368">
        <f t="shared" si="2"/>
        <v>906.5</v>
      </c>
      <c r="F19" s="368">
        <f t="shared" si="2"/>
        <v>906.5</v>
      </c>
      <c r="G19" s="368">
        <f t="shared" si="2"/>
        <v>906.5</v>
      </c>
      <c r="H19" s="368">
        <f t="shared" si="2"/>
        <v>906.5</v>
      </c>
      <c r="I19" s="368">
        <f t="shared" si="2"/>
        <v>906.5</v>
      </c>
      <c r="J19" s="368">
        <f t="shared" si="2"/>
        <v>906.5</v>
      </c>
      <c r="K19" s="368">
        <f t="shared" si="2"/>
        <v>906.5</v>
      </c>
      <c r="L19" s="368">
        <f t="shared" si="2"/>
        <v>906.5</v>
      </c>
      <c r="M19" s="368">
        <f t="shared" si="2"/>
        <v>906.5</v>
      </c>
      <c r="N19" s="367">
        <f t="shared" si="2"/>
        <v>906.49999999999989</v>
      </c>
    </row>
    <row r="20" spans="1:14" s="355" customFormat="1" ht="10.199999999999999" x14ac:dyDescent="0.2">
      <c r="A20" s="366"/>
      <c r="B20" s="365" t="s">
        <v>135</v>
      </c>
      <c r="C20" s="364">
        <v>1.3</v>
      </c>
      <c r="D20" s="364">
        <v>1.3</v>
      </c>
      <c r="E20" s="364">
        <v>1.3</v>
      </c>
      <c r="F20" s="364">
        <v>1.3</v>
      </c>
      <c r="G20" s="364">
        <v>1.3</v>
      </c>
      <c r="H20" s="364">
        <v>1.3</v>
      </c>
      <c r="I20" s="364">
        <v>35.700000000000003</v>
      </c>
      <c r="J20" s="364">
        <v>90.2</v>
      </c>
      <c r="K20" s="364">
        <v>131.69999999999999</v>
      </c>
      <c r="L20" s="364">
        <v>140.80000000000001</v>
      </c>
      <c r="M20" s="364">
        <v>167.8</v>
      </c>
      <c r="N20" s="363">
        <v>182.4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64">
        <v>0</v>
      </c>
      <c r="K21" s="364">
        <v>0</v>
      </c>
      <c r="L21" s="364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64">
        <v>0</v>
      </c>
      <c r="K22" s="364">
        <v>0</v>
      </c>
      <c r="L22" s="364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64">
        <v>0</v>
      </c>
      <c r="K23" s="364">
        <v>0</v>
      </c>
      <c r="L23" s="364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905.18000000000006</v>
      </c>
      <c r="D24" s="364">
        <v>905.2</v>
      </c>
      <c r="E24" s="364">
        <v>905.2</v>
      </c>
      <c r="F24" s="364">
        <v>905.2</v>
      </c>
      <c r="G24" s="364">
        <v>905.2</v>
      </c>
      <c r="H24" s="364">
        <v>905.2</v>
      </c>
      <c r="I24" s="364">
        <v>870.8</v>
      </c>
      <c r="J24" s="364">
        <v>816.3</v>
      </c>
      <c r="K24" s="364">
        <v>774.80000000000007</v>
      </c>
      <c r="L24" s="364">
        <v>765.7</v>
      </c>
      <c r="M24" s="364">
        <v>738.7</v>
      </c>
      <c r="N24" s="363">
        <v>724.09999999999991</v>
      </c>
    </row>
    <row r="25" spans="1:14" s="355" customFormat="1" ht="10.199999999999999" x14ac:dyDescent="0.2">
      <c r="A25" s="370">
        <v>4</v>
      </c>
      <c r="B25" s="369" t="s">
        <v>114</v>
      </c>
      <c r="C25" s="368">
        <f t="shared" ref="C25:N25" si="3">SUM(C26:C30)</f>
        <v>7806.1760000000004</v>
      </c>
      <c r="D25" s="368">
        <f t="shared" si="3"/>
        <v>7806.2</v>
      </c>
      <c r="E25" s="368">
        <f t="shared" si="3"/>
        <v>7806.2000000000007</v>
      </c>
      <c r="F25" s="368">
        <f t="shared" si="3"/>
        <v>7806.0999999999995</v>
      </c>
      <c r="G25" s="368">
        <f t="shared" si="3"/>
        <v>7806.1510000000007</v>
      </c>
      <c r="H25" s="368">
        <f t="shared" si="3"/>
        <v>7806.2</v>
      </c>
      <c r="I25" s="368">
        <f t="shared" si="3"/>
        <v>8010.6</v>
      </c>
      <c r="J25" s="379">
        <f t="shared" si="3"/>
        <v>2806.1759999999999</v>
      </c>
      <c r="K25" s="368">
        <f t="shared" si="3"/>
        <v>8010.6</v>
      </c>
      <c r="L25" s="368">
        <f t="shared" si="3"/>
        <v>7884</v>
      </c>
      <c r="M25" s="368">
        <f t="shared" si="3"/>
        <v>7965.1999999999989</v>
      </c>
      <c r="N25" s="367">
        <f t="shared" si="3"/>
        <v>7965.2</v>
      </c>
    </row>
    <row r="26" spans="1:14" s="355" customFormat="1" ht="10.199999999999999" x14ac:dyDescent="0.2">
      <c r="A26" s="366"/>
      <c r="B26" s="365" t="s">
        <v>141</v>
      </c>
      <c r="C26" s="364">
        <v>307.55099999999999</v>
      </c>
      <c r="D26" s="364">
        <v>327.5</v>
      </c>
      <c r="E26" s="364">
        <v>327.60000000000002</v>
      </c>
      <c r="F26" s="364">
        <v>328.5</v>
      </c>
      <c r="G26" s="364">
        <v>328.55099999999999</v>
      </c>
      <c r="H26" s="364">
        <v>333.1</v>
      </c>
      <c r="I26" s="364">
        <v>1176.3</v>
      </c>
      <c r="J26" s="375">
        <v>306.03100000000001</v>
      </c>
      <c r="K26" s="364">
        <v>1571.9</v>
      </c>
      <c r="L26" s="364">
        <v>1785.1</v>
      </c>
      <c r="M26" s="364">
        <v>2172.9</v>
      </c>
      <c r="N26" s="363">
        <v>2274.6999999999998</v>
      </c>
    </row>
    <row r="27" spans="1:14" s="355" customFormat="1" ht="10.199999999999999" x14ac:dyDescent="0.2">
      <c r="A27" s="366"/>
      <c r="B27" s="365" t="s">
        <v>136</v>
      </c>
      <c r="C27" s="364">
        <v>0</v>
      </c>
      <c r="D27" s="364">
        <v>0</v>
      </c>
      <c r="E27" s="364">
        <v>0</v>
      </c>
      <c r="F27" s="364">
        <v>0</v>
      </c>
      <c r="G27" s="364">
        <v>0</v>
      </c>
      <c r="H27" s="364">
        <v>0</v>
      </c>
      <c r="I27" s="364">
        <v>0</v>
      </c>
      <c r="J27" s="375">
        <v>0</v>
      </c>
      <c r="K27" s="364">
        <v>0</v>
      </c>
      <c r="L27" s="364">
        <v>0</v>
      </c>
      <c r="M27" s="364">
        <v>0</v>
      </c>
      <c r="N27" s="363">
        <v>0</v>
      </c>
    </row>
    <row r="28" spans="1:14" s="355" customFormat="1" ht="10.199999999999999" x14ac:dyDescent="0.2">
      <c r="A28" s="366"/>
      <c r="B28" s="365" t="s">
        <v>154</v>
      </c>
      <c r="C28" s="364">
        <v>0</v>
      </c>
      <c r="D28" s="364">
        <v>0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  <c r="J28" s="375">
        <v>0</v>
      </c>
      <c r="K28" s="364">
        <v>0</v>
      </c>
      <c r="L28" s="364">
        <v>0</v>
      </c>
      <c r="M28" s="364">
        <v>0</v>
      </c>
      <c r="N28" s="363">
        <v>0</v>
      </c>
    </row>
    <row r="29" spans="1:14" s="355" customFormat="1" ht="10.199999999999999" x14ac:dyDescent="0.2">
      <c r="A29" s="366"/>
      <c r="B29" s="365" t="s">
        <v>155</v>
      </c>
      <c r="C29" s="364">
        <v>0</v>
      </c>
      <c r="D29" s="364">
        <v>0</v>
      </c>
      <c r="E29" s="364">
        <v>0</v>
      </c>
      <c r="F29" s="364">
        <v>0</v>
      </c>
      <c r="G29" s="364">
        <v>0</v>
      </c>
      <c r="H29" s="364">
        <v>0</v>
      </c>
      <c r="I29" s="364">
        <v>0</v>
      </c>
      <c r="J29" s="375">
        <v>0</v>
      </c>
      <c r="K29" s="364">
        <v>0</v>
      </c>
      <c r="L29" s="364">
        <v>0</v>
      </c>
      <c r="M29" s="364">
        <v>0</v>
      </c>
      <c r="N29" s="363">
        <v>0</v>
      </c>
    </row>
    <row r="30" spans="1:14" s="355" customFormat="1" ht="10.199999999999999" x14ac:dyDescent="0.2">
      <c r="A30" s="366"/>
      <c r="B30" s="365" t="s">
        <v>156</v>
      </c>
      <c r="C30" s="364">
        <v>7498.625</v>
      </c>
      <c r="D30" s="364">
        <v>7478.7</v>
      </c>
      <c r="E30" s="364">
        <v>7478.6</v>
      </c>
      <c r="F30" s="364">
        <v>7477.5999999999995</v>
      </c>
      <c r="G30" s="364">
        <v>7477.6</v>
      </c>
      <c r="H30" s="364">
        <v>7473.0999999999995</v>
      </c>
      <c r="I30" s="364">
        <v>6834.3</v>
      </c>
      <c r="J30" s="375">
        <f>2497.845+2.3</f>
        <v>2500.145</v>
      </c>
      <c r="K30" s="364">
        <v>6438.7</v>
      </c>
      <c r="L30" s="364">
        <v>6098.9</v>
      </c>
      <c r="M30" s="364">
        <v>5792.2999999999993</v>
      </c>
      <c r="N30" s="363">
        <v>5690.5</v>
      </c>
    </row>
    <row r="31" spans="1:14" s="355" customFormat="1" ht="10.199999999999999" x14ac:dyDescent="0.2">
      <c r="A31" s="370">
        <v>5</v>
      </c>
      <c r="B31" s="369" t="s">
        <v>157</v>
      </c>
      <c r="C31" s="386">
        <f t="shared" ref="C31:N31" si="4">SUM(C32:C33)</f>
        <v>486.15999999999997</v>
      </c>
      <c r="D31" s="386">
        <f t="shared" si="4"/>
        <v>486.15</v>
      </c>
      <c r="E31" s="386">
        <f t="shared" si="4"/>
        <v>486.2</v>
      </c>
      <c r="F31" s="386">
        <f t="shared" si="4"/>
        <v>486.2</v>
      </c>
      <c r="G31" s="386">
        <f t="shared" si="4"/>
        <v>486.15</v>
      </c>
      <c r="H31" s="386">
        <f t="shared" si="4"/>
        <v>486.2</v>
      </c>
      <c r="I31" s="386">
        <f t="shared" si="4"/>
        <v>528.50000000000011</v>
      </c>
      <c r="J31" s="387">
        <f t="shared" si="4"/>
        <v>215.02500000000001</v>
      </c>
      <c r="K31" s="387">
        <f t="shared" si="4"/>
        <v>535.90000000000009</v>
      </c>
      <c r="L31" s="386">
        <f t="shared" si="4"/>
        <v>538.29999999999995</v>
      </c>
      <c r="M31" s="386">
        <f t="shared" si="4"/>
        <v>538.30000000000007</v>
      </c>
      <c r="N31" s="385">
        <f t="shared" si="4"/>
        <v>529.70000000000005</v>
      </c>
    </row>
    <row r="32" spans="1:14" s="355" customFormat="1" ht="10.199999999999999" x14ac:dyDescent="0.2">
      <c r="A32" s="366"/>
      <c r="B32" s="365" t="s">
        <v>135</v>
      </c>
      <c r="C32" s="383">
        <v>0.01</v>
      </c>
      <c r="D32" s="383">
        <v>0</v>
      </c>
      <c r="E32" s="383">
        <v>0</v>
      </c>
      <c r="F32" s="383">
        <v>0</v>
      </c>
      <c r="G32" s="383">
        <v>0</v>
      </c>
      <c r="H32" s="383">
        <v>0</v>
      </c>
      <c r="I32" s="383">
        <v>1.7</v>
      </c>
      <c r="J32" s="384">
        <v>2.5000000000000001E-2</v>
      </c>
      <c r="K32" s="384">
        <v>8.1999999999999993</v>
      </c>
      <c r="L32" s="383">
        <v>8.5</v>
      </c>
      <c r="M32" s="383">
        <v>12.5</v>
      </c>
      <c r="N32" s="382">
        <v>10</v>
      </c>
    </row>
    <row r="33" spans="1:14" s="355" customFormat="1" ht="10.199999999999999" x14ac:dyDescent="0.2">
      <c r="A33" s="366"/>
      <c r="B33" s="365" t="s">
        <v>158</v>
      </c>
      <c r="C33" s="364">
        <v>486.15</v>
      </c>
      <c r="D33" s="364">
        <v>486.15</v>
      </c>
      <c r="E33" s="364">
        <v>486.2</v>
      </c>
      <c r="F33" s="364">
        <v>486.2</v>
      </c>
      <c r="G33" s="364">
        <v>486.15</v>
      </c>
      <c r="H33" s="364">
        <v>486.2</v>
      </c>
      <c r="I33" s="364">
        <v>526.80000000000007</v>
      </c>
      <c r="J33" s="375">
        <v>215</v>
      </c>
      <c r="K33" s="375">
        <v>527.70000000000005</v>
      </c>
      <c r="L33" s="364">
        <v>529.79999999999995</v>
      </c>
      <c r="M33" s="364">
        <v>525.80000000000007</v>
      </c>
      <c r="N33" s="363">
        <v>519.70000000000005</v>
      </c>
    </row>
    <row r="34" spans="1:14" s="373" customFormat="1" ht="10.199999999999999" hidden="1" x14ac:dyDescent="0.2">
      <c r="A34" s="381">
        <v>6</v>
      </c>
      <c r="B34" s="380" t="s">
        <v>115</v>
      </c>
      <c r="C34" s="379">
        <f t="shared" ref="C34:K34" si="5">SUM(C35:C37)</f>
        <v>0</v>
      </c>
      <c r="D34" s="379">
        <f t="shared" si="5"/>
        <v>0</v>
      </c>
      <c r="E34" s="379">
        <f t="shared" si="5"/>
        <v>0</v>
      </c>
      <c r="F34" s="379">
        <f t="shared" si="5"/>
        <v>0</v>
      </c>
      <c r="G34" s="379">
        <f t="shared" si="5"/>
        <v>0</v>
      </c>
      <c r="H34" s="379">
        <f t="shared" si="5"/>
        <v>0</v>
      </c>
      <c r="I34" s="379">
        <f t="shared" si="5"/>
        <v>0</v>
      </c>
      <c r="J34" s="379">
        <f t="shared" si="5"/>
        <v>0</v>
      </c>
      <c r="K34" s="379">
        <f t="shared" si="5"/>
        <v>0</v>
      </c>
      <c r="L34" s="379">
        <v>0</v>
      </c>
      <c r="M34" s="379">
        <v>0</v>
      </c>
      <c r="N34" s="378"/>
    </row>
    <row r="35" spans="1:14" s="373" customFormat="1" ht="10.199999999999999" hidden="1" x14ac:dyDescent="0.2">
      <c r="A35" s="377"/>
      <c r="B35" s="376" t="s">
        <v>135</v>
      </c>
      <c r="C35" s="375">
        <v>0</v>
      </c>
      <c r="D35" s="375">
        <v>0</v>
      </c>
      <c r="E35" s="375">
        <v>0</v>
      </c>
      <c r="F35" s="375">
        <v>0</v>
      </c>
      <c r="G35" s="375">
        <v>0</v>
      </c>
      <c r="H35" s="375">
        <v>0</v>
      </c>
      <c r="I35" s="375">
        <v>0</v>
      </c>
      <c r="J35" s="375">
        <v>0</v>
      </c>
      <c r="K35" s="375">
        <v>0</v>
      </c>
      <c r="L35" s="375">
        <v>0</v>
      </c>
      <c r="M35" s="375">
        <v>0</v>
      </c>
      <c r="N35" s="374">
        <v>0</v>
      </c>
    </row>
    <row r="36" spans="1:14" s="373" customFormat="1" ht="10.199999999999999" hidden="1" x14ac:dyDescent="0.2">
      <c r="A36" s="377"/>
      <c r="B36" s="376" t="s">
        <v>159</v>
      </c>
      <c r="C36" s="375">
        <v>0</v>
      </c>
      <c r="D36" s="375">
        <v>0</v>
      </c>
      <c r="E36" s="375">
        <v>0</v>
      </c>
      <c r="F36" s="375">
        <v>0</v>
      </c>
      <c r="G36" s="375">
        <v>0</v>
      </c>
      <c r="H36" s="375">
        <v>0</v>
      </c>
      <c r="I36" s="375">
        <v>0</v>
      </c>
      <c r="J36" s="375">
        <v>0</v>
      </c>
      <c r="K36" s="375">
        <v>0</v>
      </c>
      <c r="L36" s="375">
        <v>0</v>
      </c>
      <c r="M36" s="375">
        <v>0</v>
      </c>
      <c r="N36" s="374">
        <v>0</v>
      </c>
    </row>
    <row r="37" spans="1:14" s="373" customFormat="1" ht="10.199999999999999" hidden="1" x14ac:dyDescent="0.2">
      <c r="A37" s="377"/>
      <c r="B37" s="376" t="s">
        <v>140</v>
      </c>
      <c r="C37" s="375">
        <v>0</v>
      </c>
      <c r="D37" s="375">
        <v>0</v>
      </c>
      <c r="E37" s="375">
        <v>0</v>
      </c>
      <c r="F37" s="375">
        <v>0</v>
      </c>
      <c r="G37" s="375">
        <v>0</v>
      </c>
      <c r="H37" s="375">
        <v>0</v>
      </c>
      <c r="I37" s="375">
        <v>0</v>
      </c>
      <c r="J37" s="375">
        <v>0</v>
      </c>
      <c r="K37" s="375">
        <v>0</v>
      </c>
      <c r="L37" s="375">
        <v>0</v>
      </c>
      <c r="M37" s="375">
        <v>0</v>
      </c>
      <c r="N37" s="374">
        <v>0</v>
      </c>
    </row>
    <row r="38" spans="1:14" s="355" customFormat="1" ht="10.199999999999999" x14ac:dyDescent="0.2">
      <c r="A38" s="370"/>
      <c r="B38" s="369" t="s">
        <v>147</v>
      </c>
      <c r="C38" s="368">
        <f t="shared" ref="C38:N38" si="6">+C7+C13+C19+C25+C31</f>
        <v>234157.92299999998</v>
      </c>
      <c r="D38" s="368">
        <f t="shared" si="6"/>
        <v>234157.94999999998</v>
      </c>
      <c r="E38" s="368">
        <f t="shared" si="6"/>
        <v>234158.10000000003</v>
      </c>
      <c r="F38" s="368">
        <f t="shared" si="6"/>
        <v>234157.90000000002</v>
      </c>
      <c r="G38" s="368">
        <f t="shared" si="6"/>
        <v>227457.77599999998</v>
      </c>
      <c r="H38" s="368">
        <f t="shared" si="6"/>
        <v>227457.97500000001</v>
      </c>
      <c r="I38" s="368">
        <f t="shared" si="6"/>
        <v>222354.9</v>
      </c>
      <c r="J38" s="368">
        <f t="shared" si="6"/>
        <v>222837.00099999999</v>
      </c>
      <c r="K38" s="368">
        <f t="shared" si="6"/>
        <v>246362.3</v>
      </c>
      <c r="L38" s="368">
        <f t="shared" si="6"/>
        <v>274238.09999999998</v>
      </c>
      <c r="M38" s="368">
        <f t="shared" si="6"/>
        <v>278024.40000000002</v>
      </c>
      <c r="N38" s="368">
        <f t="shared" si="6"/>
        <v>283710.70000000007</v>
      </c>
    </row>
    <row r="39" spans="1:14" s="355" customFormat="1" ht="10.199999999999999" x14ac:dyDescent="0.2">
      <c r="A39" s="370">
        <v>7</v>
      </c>
      <c r="B39" s="369" t="s">
        <v>166</v>
      </c>
      <c r="C39" s="368">
        <f t="shared" ref="C39:N39" si="7">C40</f>
        <v>-184972.79999999999</v>
      </c>
      <c r="D39" s="368">
        <f t="shared" si="7"/>
        <v>-200898.6</v>
      </c>
      <c r="E39" s="368">
        <f t="shared" si="7"/>
        <v>-196623.9</v>
      </c>
      <c r="F39" s="368">
        <f t="shared" si="7"/>
        <v>-195964.79999999999</v>
      </c>
      <c r="G39" s="368">
        <f t="shared" si="7"/>
        <v>-199137</v>
      </c>
      <c r="H39" s="368">
        <f t="shared" si="7"/>
        <v>-217610.49999999997</v>
      </c>
      <c r="I39" s="368">
        <f t="shared" si="7"/>
        <v>-201611.4</v>
      </c>
      <c r="J39" s="368">
        <f t="shared" si="7"/>
        <v>-195712</v>
      </c>
      <c r="K39" s="368">
        <f t="shared" si="7"/>
        <v>-234661.1</v>
      </c>
      <c r="L39" s="368">
        <f t="shared" si="7"/>
        <v>-262349.5</v>
      </c>
      <c r="M39" s="368">
        <f t="shared" si="7"/>
        <v>-269073</v>
      </c>
      <c r="N39" s="367">
        <f t="shared" si="7"/>
        <v>-127686.39999999999</v>
      </c>
    </row>
    <row r="40" spans="1:14" s="355" customFormat="1" ht="10.199999999999999" x14ac:dyDescent="0.2">
      <c r="A40" s="366"/>
      <c r="B40" s="365" t="s">
        <v>167</v>
      </c>
      <c r="C40" s="372">
        <v>-184972.79999999999</v>
      </c>
      <c r="D40" s="372">
        <v>-200898.6</v>
      </c>
      <c r="E40" s="372">
        <v>-196623.9</v>
      </c>
      <c r="F40" s="372">
        <v>-195964.79999999999</v>
      </c>
      <c r="G40" s="372">
        <v>-199137</v>
      </c>
      <c r="H40" s="372">
        <v>-217610.49999999997</v>
      </c>
      <c r="I40" s="372">
        <v>-201611.4</v>
      </c>
      <c r="J40" s="372">
        <v>-195712</v>
      </c>
      <c r="K40" s="372">
        <v>-234661.1</v>
      </c>
      <c r="L40" s="372">
        <v>-262349.5</v>
      </c>
      <c r="M40" s="372">
        <v>-269073</v>
      </c>
      <c r="N40" s="371">
        <v>-127686.39999999999</v>
      </c>
    </row>
    <row r="41" spans="1:14" s="355" customFormat="1" ht="10.199999999999999" x14ac:dyDescent="0.2">
      <c r="A41" s="370"/>
      <c r="B41" s="369" t="s">
        <v>147</v>
      </c>
      <c r="C41" s="368">
        <f t="shared" ref="C41:N41" si="8">SUM(C42:C46)</f>
        <v>49185.123000000007</v>
      </c>
      <c r="D41" s="368">
        <f t="shared" si="8"/>
        <v>33259.35</v>
      </c>
      <c r="E41" s="368">
        <f t="shared" si="8"/>
        <v>37534.19999999999</v>
      </c>
      <c r="F41" s="368">
        <f t="shared" si="8"/>
        <v>38193.100000000028</v>
      </c>
      <c r="G41" s="368">
        <f t="shared" si="8"/>
        <v>28320.775999999998</v>
      </c>
      <c r="H41" s="368">
        <f t="shared" si="8"/>
        <v>9847.4750000000095</v>
      </c>
      <c r="I41" s="368">
        <f t="shared" si="8"/>
        <v>20743.500000000018</v>
      </c>
      <c r="J41" s="368">
        <f t="shared" si="8"/>
        <v>27125.001000000026</v>
      </c>
      <c r="K41" s="368">
        <f t="shared" si="8"/>
        <v>11701.199999999986</v>
      </c>
      <c r="L41" s="368">
        <f t="shared" si="8"/>
        <v>11888.600000000009</v>
      </c>
      <c r="M41" s="368">
        <f t="shared" si="8"/>
        <v>8951.4000000000087</v>
      </c>
      <c r="N41" s="367">
        <f t="shared" si="8"/>
        <v>156024.29999999999</v>
      </c>
    </row>
    <row r="42" spans="1:14" s="355" customFormat="1" ht="10.199999999999999" x14ac:dyDescent="0.2">
      <c r="A42" s="366"/>
      <c r="B42" s="365" t="s">
        <v>135</v>
      </c>
      <c r="C42" s="364">
        <f t="shared" ref="C42:N42" si="9">C8+C14+C20+C26+C32+C35+C40</f>
        <v>-168564.00699999998</v>
      </c>
      <c r="D42" s="364">
        <f t="shared" si="9"/>
        <v>-184549.9</v>
      </c>
      <c r="E42" s="364">
        <f t="shared" si="9"/>
        <v>-180075.1</v>
      </c>
      <c r="F42" s="364">
        <f t="shared" si="9"/>
        <v>-179265.09999999998</v>
      </c>
      <c r="G42" s="364">
        <f t="shared" si="9"/>
        <v>-182437.24900000001</v>
      </c>
      <c r="H42" s="364">
        <f t="shared" si="9"/>
        <v>-201106.19999999998</v>
      </c>
      <c r="I42" s="364">
        <f t="shared" si="9"/>
        <v>-178840.3</v>
      </c>
      <c r="J42" s="364">
        <f t="shared" si="9"/>
        <v>-157501.34399999998</v>
      </c>
      <c r="K42" s="364">
        <f t="shared" si="9"/>
        <v>-174189.90000000002</v>
      </c>
      <c r="L42" s="364">
        <f t="shared" si="9"/>
        <v>-201655.7</v>
      </c>
      <c r="M42" s="364">
        <f t="shared" si="9"/>
        <v>-210090.4</v>
      </c>
      <c r="N42" s="363">
        <f t="shared" si="9"/>
        <v>-85819.9</v>
      </c>
    </row>
    <row r="43" spans="1:14" s="355" customFormat="1" ht="10.199999999999999" x14ac:dyDescent="0.2">
      <c r="A43" s="366"/>
      <c r="B43" s="365" t="s">
        <v>136</v>
      </c>
      <c r="C43" s="364">
        <f t="shared" ref="C43:N43" si="10">C9+C15+C21+C27+C36</f>
        <v>176963.02499999999</v>
      </c>
      <c r="D43" s="364">
        <f t="shared" si="10"/>
        <v>177486.8</v>
      </c>
      <c r="E43" s="364">
        <f t="shared" si="10"/>
        <v>177186.8</v>
      </c>
      <c r="F43" s="364">
        <f t="shared" si="10"/>
        <v>177233.6</v>
      </c>
      <c r="G43" s="364">
        <f t="shared" si="10"/>
        <v>170890.1</v>
      </c>
      <c r="H43" s="364">
        <f t="shared" si="10"/>
        <v>170963.9</v>
      </c>
      <c r="I43" s="364">
        <f t="shared" si="10"/>
        <v>160146.6</v>
      </c>
      <c r="J43" s="364">
        <f t="shared" si="10"/>
        <v>150523.1</v>
      </c>
      <c r="K43" s="364">
        <f t="shared" si="10"/>
        <v>147101.1</v>
      </c>
      <c r="L43" s="364">
        <f t="shared" si="10"/>
        <v>174748.90000000002</v>
      </c>
      <c r="M43" s="364">
        <f t="shared" si="10"/>
        <v>180552.1</v>
      </c>
      <c r="N43" s="363">
        <f t="shared" si="10"/>
        <v>203061.8</v>
      </c>
    </row>
    <row r="44" spans="1:14" s="355" customFormat="1" ht="10.199999999999999" x14ac:dyDescent="0.2">
      <c r="A44" s="366"/>
      <c r="B44" s="365" t="s">
        <v>154</v>
      </c>
      <c r="C44" s="364">
        <f t="shared" ref="C44:N44" si="11">C10+C16+C22+C28</f>
        <v>5561.0499999999993</v>
      </c>
      <c r="D44" s="364">
        <f t="shared" si="11"/>
        <v>5951</v>
      </c>
      <c r="E44" s="364">
        <f t="shared" si="11"/>
        <v>6051.0999999999995</v>
      </c>
      <c r="F44" s="364">
        <f t="shared" si="11"/>
        <v>5824.2</v>
      </c>
      <c r="G44" s="364">
        <f t="shared" si="11"/>
        <v>5484.15</v>
      </c>
      <c r="H44" s="364">
        <f t="shared" si="11"/>
        <v>5610.45</v>
      </c>
      <c r="I44" s="364">
        <f t="shared" si="11"/>
        <v>5740.5</v>
      </c>
      <c r="J44" s="364">
        <f t="shared" si="11"/>
        <v>5680.5</v>
      </c>
      <c r="K44" s="364">
        <f t="shared" si="11"/>
        <v>6118</v>
      </c>
      <c r="L44" s="364">
        <f t="shared" si="11"/>
        <v>6438</v>
      </c>
      <c r="M44" s="364">
        <f t="shared" si="11"/>
        <v>6399.8</v>
      </c>
      <c r="N44" s="363">
        <f t="shared" si="11"/>
        <v>6814.8</v>
      </c>
    </row>
    <row r="45" spans="1:14" s="355" customFormat="1" ht="10.199999999999999" x14ac:dyDescent="0.2">
      <c r="A45" s="366"/>
      <c r="B45" s="365" t="s">
        <v>155</v>
      </c>
      <c r="C45" s="364">
        <f t="shared" ref="C45:N45" si="12">C11+C17+C23+C29</f>
        <v>3845.0250000000001</v>
      </c>
      <c r="D45" s="364">
        <f t="shared" si="12"/>
        <v>3840</v>
      </c>
      <c r="E45" s="364">
        <f t="shared" si="12"/>
        <v>3840</v>
      </c>
      <c r="F45" s="364">
        <f t="shared" si="12"/>
        <v>3870</v>
      </c>
      <c r="G45" s="364">
        <f t="shared" si="12"/>
        <v>3853.5</v>
      </c>
      <c r="H45" s="364">
        <f t="shared" si="12"/>
        <v>3853.5</v>
      </c>
      <c r="I45" s="364">
        <f t="shared" si="12"/>
        <v>3803.5</v>
      </c>
      <c r="J45" s="364">
        <f t="shared" si="12"/>
        <v>3890</v>
      </c>
      <c r="K45" s="364">
        <f t="shared" si="12"/>
        <v>3924.5</v>
      </c>
      <c r="L45" s="364">
        <f t="shared" si="12"/>
        <v>3948</v>
      </c>
      <c r="M45" s="364">
        <f t="shared" si="12"/>
        <v>4018</v>
      </c>
      <c r="N45" s="363">
        <f t="shared" si="12"/>
        <v>4018.3</v>
      </c>
    </row>
    <row r="46" spans="1:14" s="355" customFormat="1" ht="10.199999999999999" x14ac:dyDescent="0.2">
      <c r="A46" s="366"/>
      <c r="B46" s="365" t="s">
        <v>156</v>
      </c>
      <c r="C46" s="364">
        <f t="shared" ref="C46:N46" si="13">C12+C18+C24+C30+C37+C33</f>
        <v>31380.03</v>
      </c>
      <c r="D46" s="364">
        <f t="shared" si="13"/>
        <v>30531.450000000004</v>
      </c>
      <c r="E46" s="364">
        <f t="shared" si="13"/>
        <v>30531.400000000005</v>
      </c>
      <c r="F46" s="364">
        <f t="shared" si="13"/>
        <v>30530.400000000001</v>
      </c>
      <c r="G46" s="364">
        <f t="shared" si="13"/>
        <v>30530.275000000001</v>
      </c>
      <c r="H46" s="364">
        <f t="shared" si="13"/>
        <v>30525.824999999997</v>
      </c>
      <c r="I46" s="364">
        <f t="shared" si="13"/>
        <v>29893.200000000001</v>
      </c>
      <c r="J46" s="364">
        <f t="shared" si="13"/>
        <v>24532.745000000003</v>
      </c>
      <c r="K46" s="364">
        <f t="shared" si="13"/>
        <v>28747.500000000004</v>
      </c>
      <c r="L46" s="364">
        <f t="shared" si="13"/>
        <v>28409.399999999998</v>
      </c>
      <c r="M46" s="364">
        <f t="shared" si="13"/>
        <v>28071.899999999998</v>
      </c>
      <c r="N46" s="363">
        <f t="shared" si="13"/>
        <v>27949.3</v>
      </c>
    </row>
    <row r="47" spans="1:14" s="355" customFormat="1" ht="21" thickBot="1" x14ac:dyDescent="0.25">
      <c r="A47" s="362"/>
      <c r="B47" s="361" t="s">
        <v>161</v>
      </c>
      <c r="C47" s="360">
        <f t="shared" ref="C47:N47" si="14">C41-C39</f>
        <v>234157.92300000001</v>
      </c>
      <c r="D47" s="360">
        <f t="shared" si="14"/>
        <v>234157.95</v>
      </c>
      <c r="E47" s="360">
        <f t="shared" si="14"/>
        <v>234158.09999999998</v>
      </c>
      <c r="F47" s="359">
        <f t="shared" si="14"/>
        <v>234157.90000000002</v>
      </c>
      <c r="G47" s="359">
        <f t="shared" si="14"/>
        <v>227457.77600000001</v>
      </c>
      <c r="H47" s="359">
        <f t="shared" si="14"/>
        <v>227457.97499999998</v>
      </c>
      <c r="I47" s="359">
        <f t="shared" si="14"/>
        <v>222354.90000000002</v>
      </c>
      <c r="J47" s="359">
        <f t="shared" si="14"/>
        <v>222837.00100000002</v>
      </c>
      <c r="K47" s="359">
        <f t="shared" si="14"/>
        <v>246362.3</v>
      </c>
      <c r="L47" s="359">
        <f t="shared" si="14"/>
        <v>274238.10000000003</v>
      </c>
      <c r="M47" s="359">
        <f t="shared" si="14"/>
        <v>278024.40000000002</v>
      </c>
      <c r="N47" s="358">
        <f t="shared" si="14"/>
        <v>283710.69999999995</v>
      </c>
    </row>
    <row r="48" spans="1:14" s="355" customFormat="1" ht="10.8" thickTop="1" x14ac:dyDescent="0.2">
      <c r="A48" s="357" t="s">
        <v>162</v>
      </c>
      <c r="B48" s="356"/>
    </row>
    <row r="49" spans="1:2" s="355" customFormat="1" ht="10.199999999999999" x14ac:dyDescent="0.2">
      <c r="A49" s="357" t="s">
        <v>163</v>
      </c>
      <c r="B49" s="356"/>
    </row>
    <row r="50" spans="1:2" s="355" customFormat="1" ht="10.199999999999999" x14ac:dyDescent="0.2"/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zoomScale="120" zoomScaleNormal="120" workbookViewId="0">
      <selection activeCell="F19" sqref="F19"/>
    </sheetView>
  </sheetViews>
  <sheetFormatPr defaultRowHeight="13.2" x14ac:dyDescent="0.25"/>
  <cols>
    <col min="1" max="1" width="6.33203125" style="354" customWidth="1"/>
    <col min="2" max="2" width="25" style="354" customWidth="1"/>
    <col min="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172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171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f t="shared" ref="C7:N7" si="0">SUM(C8:C12)</f>
        <v>120409.20000000001</v>
      </c>
      <c r="D7" s="368">
        <f t="shared" si="0"/>
        <v>124034.20000000001</v>
      </c>
      <c r="E7" s="368">
        <f t="shared" si="0"/>
        <v>127949.20000000001</v>
      </c>
      <c r="F7" s="389">
        <f t="shared" si="0"/>
        <v>135745.60000000001</v>
      </c>
      <c r="G7" s="389">
        <f t="shared" si="0"/>
        <v>143005.6</v>
      </c>
      <c r="H7" s="389">
        <f t="shared" si="0"/>
        <v>148930.6</v>
      </c>
      <c r="I7" s="389">
        <f t="shared" si="0"/>
        <v>148930.6</v>
      </c>
      <c r="J7" s="389">
        <f t="shared" si="0"/>
        <v>142680.6</v>
      </c>
      <c r="K7" s="389">
        <f t="shared" si="0"/>
        <v>153247.9</v>
      </c>
      <c r="L7" s="389">
        <f t="shared" si="0"/>
        <v>153957.9</v>
      </c>
      <c r="M7" s="389">
        <f t="shared" si="0"/>
        <v>153847.9</v>
      </c>
      <c r="N7" s="388">
        <f t="shared" si="0"/>
        <v>144847.9</v>
      </c>
    </row>
    <row r="8" spans="1:14" s="355" customFormat="1" ht="10.199999999999999" x14ac:dyDescent="0.2">
      <c r="A8" s="366"/>
      <c r="B8" s="365" t="s">
        <v>135</v>
      </c>
      <c r="C8" s="364">
        <v>30457.4</v>
      </c>
      <c r="D8" s="364">
        <v>24932.400000000001</v>
      </c>
      <c r="E8" s="364">
        <v>24432.400000000001</v>
      </c>
      <c r="F8" s="364">
        <v>25482.400000000001</v>
      </c>
      <c r="G8" s="364">
        <v>29343.599999999999</v>
      </c>
      <c r="H8" s="364">
        <v>56700.6</v>
      </c>
      <c r="I8" s="364">
        <v>55280.6</v>
      </c>
      <c r="J8" s="364">
        <v>51657.4</v>
      </c>
      <c r="K8" s="364">
        <v>38289.9</v>
      </c>
      <c r="L8" s="364">
        <v>46769.9</v>
      </c>
      <c r="M8" s="364">
        <v>37709.9</v>
      </c>
      <c r="N8" s="363">
        <v>26119.9</v>
      </c>
    </row>
    <row r="9" spans="1:14" s="355" customFormat="1" ht="10.199999999999999" x14ac:dyDescent="0.2">
      <c r="A9" s="366"/>
      <c r="B9" s="365" t="s">
        <v>136</v>
      </c>
      <c r="C9" s="364">
        <v>89468.7</v>
      </c>
      <c r="D9" s="364">
        <v>98468.7</v>
      </c>
      <c r="E9" s="364">
        <v>102853.7</v>
      </c>
      <c r="F9" s="364">
        <v>109598.2</v>
      </c>
      <c r="G9" s="364">
        <v>112663.3</v>
      </c>
      <c r="H9" s="364">
        <v>91338.3</v>
      </c>
      <c r="I9" s="364">
        <v>92708.3</v>
      </c>
      <c r="J9" s="364">
        <v>90468.2</v>
      </c>
      <c r="K9" s="364">
        <v>114128</v>
      </c>
      <c r="L9" s="364">
        <v>106423</v>
      </c>
      <c r="M9" s="364">
        <v>115458</v>
      </c>
      <c r="N9" s="363">
        <v>118153</v>
      </c>
    </row>
    <row r="10" spans="1:14" s="355" customFormat="1" ht="10.199999999999999" x14ac:dyDescent="0.2">
      <c r="A10" s="366"/>
      <c r="B10" s="365" t="s">
        <v>154</v>
      </c>
      <c r="C10" s="364">
        <v>483.1</v>
      </c>
      <c r="D10" s="364">
        <v>633.1</v>
      </c>
      <c r="E10" s="364">
        <v>663.1</v>
      </c>
      <c r="F10" s="364">
        <v>565</v>
      </c>
      <c r="G10" s="364">
        <v>623.70000000000005</v>
      </c>
      <c r="H10" s="364">
        <v>596.70000000000005</v>
      </c>
      <c r="I10" s="364">
        <v>556.70000000000005</v>
      </c>
      <c r="J10" s="364">
        <v>405</v>
      </c>
      <c r="K10" s="364">
        <v>585</v>
      </c>
      <c r="L10" s="364">
        <v>555</v>
      </c>
      <c r="M10" s="364">
        <v>470</v>
      </c>
      <c r="N10" s="363">
        <v>420</v>
      </c>
    </row>
    <row r="11" spans="1:14" s="355" customFormat="1" ht="10.199999999999999" x14ac:dyDescent="0.2">
      <c r="A11" s="366"/>
      <c r="B11" s="365" t="s">
        <v>155</v>
      </c>
      <c r="C11" s="364">
        <v>0</v>
      </c>
      <c r="D11" s="364">
        <v>0</v>
      </c>
      <c r="E11" s="364">
        <v>0</v>
      </c>
      <c r="F11" s="364">
        <v>100</v>
      </c>
      <c r="G11" s="364">
        <v>375</v>
      </c>
      <c r="H11" s="364">
        <v>275</v>
      </c>
      <c r="I11" s="364">
        <v>365</v>
      </c>
      <c r="J11" s="364">
        <v>150</v>
      </c>
      <c r="K11" s="364">
        <v>245</v>
      </c>
      <c r="L11" s="364">
        <v>210</v>
      </c>
      <c r="M11" s="364">
        <v>210</v>
      </c>
      <c r="N11" s="363">
        <v>155</v>
      </c>
    </row>
    <row r="12" spans="1:14" s="355" customFormat="1" ht="10.199999999999999" x14ac:dyDescent="0.2">
      <c r="A12" s="366"/>
      <c r="B12" s="365" t="s">
        <v>156</v>
      </c>
      <c r="C12" s="364">
        <v>0</v>
      </c>
      <c r="D12" s="364">
        <v>0</v>
      </c>
      <c r="E12" s="364">
        <v>0</v>
      </c>
      <c r="F12" s="364">
        <v>0</v>
      </c>
      <c r="G12" s="364">
        <v>0</v>
      </c>
      <c r="H12" s="364">
        <v>20</v>
      </c>
      <c r="I12" s="364">
        <v>20</v>
      </c>
      <c r="J12" s="364">
        <v>0</v>
      </c>
      <c r="K12" s="364">
        <v>0</v>
      </c>
      <c r="L12" s="364">
        <v>0</v>
      </c>
      <c r="M12" s="364">
        <v>0</v>
      </c>
      <c r="N12" s="363">
        <v>0</v>
      </c>
    </row>
    <row r="13" spans="1:14" s="355" customFormat="1" ht="10.199999999999999" x14ac:dyDescent="0.2">
      <c r="A13" s="370">
        <v>2</v>
      </c>
      <c r="B13" s="369" t="s">
        <v>112</v>
      </c>
      <c r="C13" s="368">
        <f t="shared" ref="C13:N13" si="1">SUM(C14:C18)</f>
        <v>178900.1</v>
      </c>
      <c r="D13" s="368">
        <f t="shared" si="1"/>
        <v>198900.1</v>
      </c>
      <c r="E13" s="368">
        <f t="shared" si="1"/>
        <v>203900.1</v>
      </c>
      <c r="F13" s="368">
        <f t="shared" si="1"/>
        <v>235900.1</v>
      </c>
      <c r="G13" s="368">
        <f t="shared" si="1"/>
        <v>235900</v>
      </c>
      <c r="H13" s="368">
        <f t="shared" si="1"/>
        <v>235900</v>
      </c>
      <c r="I13" s="368">
        <f t="shared" si="1"/>
        <v>235900</v>
      </c>
      <c r="J13" s="368">
        <f t="shared" si="1"/>
        <v>235900</v>
      </c>
      <c r="K13" s="368">
        <f t="shared" si="1"/>
        <v>235900</v>
      </c>
      <c r="L13" s="368">
        <f t="shared" si="1"/>
        <v>235900</v>
      </c>
      <c r="M13" s="368">
        <f t="shared" si="1"/>
        <v>235900</v>
      </c>
      <c r="N13" s="367">
        <f t="shared" si="1"/>
        <v>235900</v>
      </c>
    </row>
    <row r="14" spans="1:14" s="355" customFormat="1" ht="10.199999999999999" x14ac:dyDescent="0.2">
      <c r="A14" s="366"/>
      <c r="B14" s="365" t="s">
        <v>135</v>
      </c>
      <c r="C14" s="364">
        <v>8942</v>
      </c>
      <c r="D14" s="364">
        <v>8942</v>
      </c>
      <c r="E14" s="364">
        <v>8942</v>
      </c>
      <c r="F14" s="364">
        <v>8942</v>
      </c>
      <c r="G14" s="364">
        <v>8942</v>
      </c>
      <c r="H14" s="364">
        <v>34219.199999999997</v>
      </c>
      <c r="I14" s="364">
        <v>45287</v>
      </c>
      <c r="J14" s="364">
        <v>45287</v>
      </c>
      <c r="K14" s="364">
        <v>45287</v>
      </c>
      <c r="L14" s="364">
        <v>45287</v>
      </c>
      <c r="M14" s="364">
        <v>45287</v>
      </c>
      <c r="N14" s="363">
        <v>45287</v>
      </c>
    </row>
    <row r="15" spans="1:14" s="355" customFormat="1" ht="10.199999999999999" x14ac:dyDescent="0.2">
      <c r="A15" s="366"/>
      <c r="B15" s="365" t="s">
        <v>136</v>
      </c>
      <c r="C15" s="364">
        <v>138463</v>
      </c>
      <c r="D15" s="364">
        <v>156328.70000000001</v>
      </c>
      <c r="E15" s="364">
        <v>160584.79999999999</v>
      </c>
      <c r="F15" s="364">
        <v>189198.7</v>
      </c>
      <c r="G15" s="364">
        <v>189198.7</v>
      </c>
      <c r="H15" s="364">
        <v>168778.3</v>
      </c>
      <c r="I15" s="364">
        <v>157710.5</v>
      </c>
      <c r="J15" s="364">
        <v>157710.5</v>
      </c>
      <c r="K15" s="364">
        <v>157710.5</v>
      </c>
      <c r="L15" s="364">
        <v>157710.5</v>
      </c>
      <c r="M15" s="364">
        <v>157710.5</v>
      </c>
      <c r="N15" s="363">
        <v>157710.5</v>
      </c>
    </row>
    <row r="16" spans="1:14" s="355" customFormat="1" ht="10.199999999999999" x14ac:dyDescent="0.2">
      <c r="A16" s="366"/>
      <c r="B16" s="365" t="s">
        <v>154</v>
      </c>
      <c r="C16" s="364">
        <v>6531.7</v>
      </c>
      <c r="D16" s="364">
        <v>8430</v>
      </c>
      <c r="E16" s="364">
        <v>9074</v>
      </c>
      <c r="F16" s="364">
        <v>11004</v>
      </c>
      <c r="G16" s="364">
        <v>11004</v>
      </c>
      <c r="H16" s="364">
        <v>7569.4</v>
      </c>
      <c r="I16" s="364">
        <v>7569.4</v>
      </c>
      <c r="J16" s="364">
        <v>7569.4</v>
      </c>
      <c r="K16" s="364">
        <v>7569.4</v>
      </c>
      <c r="L16" s="364">
        <v>7569.4</v>
      </c>
      <c r="M16" s="364">
        <v>7569.4</v>
      </c>
      <c r="N16" s="363">
        <v>7569.4</v>
      </c>
    </row>
    <row r="17" spans="1:14" s="355" customFormat="1" ht="10.199999999999999" x14ac:dyDescent="0.2">
      <c r="A17" s="366"/>
      <c r="B17" s="365" t="s">
        <v>155</v>
      </c>
      <c r="C17" s="364">
        <v>3948.3</v>
      </c>
      <c r="D17" s="364">
        <v>4183.3</v>
      </c>
      <c r="E17" s="364">
        <v>4253.2</v>
      </c>
      <c r="F17" s="364">
        <v>5174.3</v>
      </c>
      <c r="G17" s="364">
        <v>5174.3</v>
      </c>
      <c r="H17" s="364">
        <v>3532.7</v>
      </c>
      <c r="I17" s="364">
        <v>3532.7</v>
      </c>
      <c r="J17" s="364">
        <v>3532.7</v>
      </c>
      <c r="K17" s="364">
        <v>3532.7</v>
      </c>
      <c r="L17" s="364">
        <v>3532.7</v>
      </c>
      <c r="M17" s="364">
        <v>3532.7</v>
      </c>
      <c r="N17" s="363">
        <v>3532.7</v>
      </c>
    </row>
    <row r="18" spans="1:14" s="355" customFormat="1" ht="10.199999999999999" x14ac:dyDescent="0.2">
      <c r="A18" s="366"/>
      <c r="B18" s="365" t="s">
        <v>140</v>
      </c>
      <c r="C18" s="364">
        <v>21015.1</v>
      </c>
      <c r="D18" s="364">
        <v>21016.1</v>
      </c>
      <c r="E18" s="364">
        <v>21046.1</v>
      </c>
      <c r="F18" s="364">
        <v>21581.1</v>
      </c>
      <c r="G18" s="364">
        <v>21581</v>
      </c>
      <c r="H18" s="364">
        <v>21800.399999999998</v>
      </c>
      <c r="I18" s="364">
        <v>21800.400000000001</v>
      </c>
      <c r="J18" s="364">
        <v>21800.399999999998</v>
      </c>
      <c r="K18" s="364">
        <v>21800.399999999998</v>
      </c>
      <c r="L18" s="364">
        <v>21800.399999999998</v>
      </c>
      <c r="M18" s="364">
        <v>21800.399999999998</v>
      </c>
      <c r="N18" s="363">
        <v>21800.399999999998</v>
      </c>
    </row>
    <row r="19" spans="1:14" s="355" customFormat="1" ht="10.199999999999999" x14ac:dyDescent="0.2">
      <c r="A19" s="370">
        <v>3</v>
      </c>
      <c r="B19" s="369" t="s">
        <v>113</v>
      </c>
      <c r="C19" s="368">
        <f t="shared" ref="C19:N19" si="2">SUM(C20:C24)</f>
        <v>906.5</v>
      </c>
      <c r="D19" s="368">
        <f t="shared" si="2"/>
        <v>906.5</v>
      </c>
      <c r="E19" s="368">
        <f t="shared" si="2"/>
        <v>906.5</v>
      </c>
      <c r="F19" s="368">
        <f t="shared" si="2"/>
        <v>906.5</v>
      </c>
      <c r="G19" s="368">
        <f t="shared" si="2"/>
        <v>906.5</v>
      </c>
      <c r="H19" s="368">
        <f t="shared" si="2"/>
        <v>906.5</v>
      </c>
      <c r="I19" s="368">
        <f t="shared" si="2"/>
        <v>906.5</v>
      </c>
      <c r="J19" s="368">
        <f t="shared" si="2"/>
        <v>906.5</v>
      </c>
      <c r="K19" s="368">
        <f t="shared" si="2"/>
        <v>906.5</v>
      </c>
      <c r="L19" s="368">
        <f t="shared" si="2"/>
        <v>906.49999999999989</v>
      </c>
      <c r="M19" s="368">
        <f t="shared" si="2"/>
        <v>906.5</v>
      </c>
      <c r="N19" s="367">
        <f t="shared" si="2"/>
        <v>906.5</v>
      </c>
    </row>
    <row r="20" spans="1:14" s="355" customFormat="1" ht="10.199999999999999" x14ac:dyDescent="0.2">
      <c r="A20" s="366"/>
      <c r="B20" s="365" t="s">
        <v>135</v>
      </c>
      <c r="C20" s="364">
        <v>182.8</v>
      </c>
      <c r="D20" s="364">
        <v>182.8</v>
      </c>
      <c r="E20" s="364">
        <v>182.8</v>
      </c>
      <c r="F20" s="364">
        <v>182.8</v>
      </c>
      <c r="G20" s="364">
        <v>182.8</v>
      </c>
      <c r="H20" s="364">
        <v>189.3</v>
      </c>
      <c r="I20" s="364">
        <v>219.3</v>
      </c>
      <c r="J20" s="364">
        <v>219.3</v>
      </c>
      <c r="K20" s="364">
        <v>244.2</v>
      </c>
      <c r="L20" s="364">
        <v>250.9</v>
      </c>
      <c r="M20" s="364">
        <v>253.1</v>
      </c>
      <c r="N20" s="363">
        <v>262.2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64">
        <v>0</v>
      </c>
      <c r="K21" s="364">
        <v>0</v>
      </c>
      <c r="L21" s="364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/>
      <c r="F22" s="364">
        <v>0</v>
      </c>
      <c r="G22" s="364">
        <v>0</v>
      </c>
      <c r="H22" s="364">
        <v>0</v>
      </c>
      <c r="I22" s="364">
        <v>0</v>
      </c>
      <c r="J22" s="364">
        <v>0</v>
      </c>
      <c r="K22" s="364">
        <v>0</v>
      </c>
      <c r="L22" s="364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64">
        <v>0</v>
      </c>
      <c r="K23" s="364">
        <v>0</v>
      </c>
      <c r="L23" s="364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723.7</v>
      </c>
      <c r="D24" s="364">
        <v>723.7</v>
      </c>
      <c r="E24" s="364">
        <v>723.7</v>
      </c>
      <c r="F24" s="364">
        <v>723.7</v>
      </c>
      <c r="G24" s="364">
        <v>723.7</v>
      </c>
      <c r="H24" s="364">
        <v>717.2</v>
      </c>
      <c r="I24" s="364">
        <v>687.2</v>
      </c>
      <c r="J24" s="364">
        <v>687.2</v>
      </c>
      <c r="K24" s="364">
        <v>662.3</v>
      </c>
      <c r="L24" s="364">
        <v>655.59999999999991</v>
      </c>
      <c r="M24" s="364">
        <v>653.4</v>
      </c>
      <c r="N24" s="363">
        <v>644.29999999999995</v>
      </c>
    </row>
    <row r="25" spans="1:14" s="355" customFormat="1" ht="10.199999999999999" x14ac:dyDescent="0.2">
      <c r="A25" s="370">
        <v>4</v>
      </c>
      <c r="B25" s="369" t="s">
        <v>114</v>
      </c>
      <c r="C25" s="368">
        <f t="shared" ref="C25:N25" si="3">SUM(C26:C30)</f>
        <v>7965.2</v>
      </c>
      <c r="D25" s="368">
        <f t="shared" si="3"/>
        <v>7965.2000000000007</v>
      </c>
      <c r="E25" s="368">
        <f t="shared" si="3"/>
        <v>7965.2000000000007</v>
      </c>
      <c r="F25" s="368">
        <f t="shared" si="3"/>
        <v>7965.2</v>
      </c>
      <c r="G25" s="368">
        <f t="shared" si="3"/>
        <v>8204.5</v>
      </c>
      <c r="H25" s="368">
        <f t="shared" si="3"/>
        <v>8204.5</v>
      </c>
      <c r="I25" s="368">
        <f t="shared" si="3"/>
        <v>8204.5</v>
      </c>
      <c r="J25" s="389">
        <f t="shared" si="3"/>
        <v>8204.5</v>
      </c>
      <c r="K25" s="368">
        <f t="shared" si="3"/>
        <v>8546.9</v>
      </c>
      <c r="L25" s="368">
        <f t="shared" si="3"/>
        <v>8546.7999999999993</v>
      </c>
      <c r="M25" s="368">
        <f t="shared" si="3"/>
        <v>8716.2999999999993</v>
      </c>
      <c r="N25" s="367">
        <f t="shared" si="3"/>
        <v>8716.2999999999993</v>
      </c>
    </row>
    <row r="26" spans="1:14" s="355" customFormat="1" ht="10.199999999999999" x14ac:dyDescent="0.2">
      <c r="A26" s="366"/>
      <c r="B26" s="365" t="s">
        <v>141</v>
      </c>
      <c r="C26" s="364">
        <v>2274.6999999999998</v>
      </c>
      <c r="D26" s="364">
        <v>2307</v>
      </c>
      <c r="E26" s="364">
        <v>2308.6</v>
      </c>
      <c r="F26" s="364">
        <v>2621.5</v>
      </c>
      <c r="G26" s="364">
        <v>2315.8000000000002</v>
      </c>
      <c r="H26" s="364">
        <v>2324.6</v>
      </c>
      <c r="I26" s="364">
        <v>2336.4</v>
      </c>
      <c r="J26" s="396">
        <v>2488.8000000000002</v>
      </c>
      <c r="K26" s="364">
        <v>2717.9</v>
      </c>
      <c r="L26" s="364">
        <v>2762.3</v>
      </c>
      <c r="M26" s="364">
        <v>2859.5</v>
      </c>
      <c r="N26" s="363">
        <v>2907.5</v>
      </c>
    </row>
    <row r="27" spans="1:14" s="355" customFormat="1" ht="10.199999999999999" x14ac:dyDescent="0.2">
      <c r="A27" s="366"/>
      <c r="B27" s="365" t="s">
        <v>136</v>
      </c>
      <c r="C27" s="364">
        <v>0</v>
      </c>
      <c r="D27" s="364">
        <v>0</v>
      </c>
      <c r="E27" s="364">
        <v>0</v>
      </c>
      <c r="F27" s="364">
        <v>0</v>
      </c>
      <c r="G27" s="364">
        <v>0</v>
      </c>
      <c r="H27" s="364">
        <v>0</v>
      </c>
      <c r="I27" s="364">
        <v>0</v>
      </c>
      <c r="J27" s="396">
        <v>0</v>
      </c>
      <c r="K27" s="364">
        <v>0</v>
      </c>
      <c r="L27" s="364">
        <v>0</v>
      </c>
      <c r="M27" s="364">
        <v>0</v>
      </c>
      <c r="N27" s="363">
        <v>0</v>
      </c>
    </row>
    <row r="28" spans="1:14" s="355" customFormat="1" ht="10.199999999999999" x14ac:dyDescent="0.2">
      <c r="A28" s="366"/>
      <c r="B28" s="365" t="s">
        <v>154</v>
      </c>
      <c r="C28" s="364">
        <v>0</v>
      </c>
      <c r="D28" s="364">
        <v>0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  <c r="J28" s="396">
        <v>0</v>
      </c>
      <c r="K28" s="364">
        <v>0</v>
      </c>
      <c r="L28" s="364">
        <v>0</v>
      </c>
      <c r="M28" s="364">
        <v>0</v>
      </c>
      <c r="N28" s="363">
        <v>0</v>
      </c>
    </row>
    <row r="29" spans="1:14" s="355" customFormat="1" ht="10.199999999999999" x14ac:dyDescent="0.2">
      <c r="A29" s="366"/>
      <c r="B29" s="365" t="s">
        <v>155</v>
      </c>
      <c r="C29" s="364">
        <v>0</v>
      </c>
      <c r="D29" s="364">
        <v>0</v>
      </c>
      <c r="E29" s="364">
        <v>0</v>
      </c>
      <c r="F29" s="364">
        <v>0</v>
      </c>
      <c r="G29" s="364">
        <v>0</v>
      </c>
      <c r="H29" s="364">
        <v>0</v>
      </c>
      <c r="I29" s="364">
        <v>0</v>
      </c>
      <c r="J29" s="396">
        <v>0</v>
      </c>
      <c r="K29" s="364">
        <v>0</v>
      </c>
      <c r="L29" s="364">
        <v>0</v>
      </c>
      <c r="M29" s="364">
        <v>0</v>
      </c>
      <c r="N29" s="363">
        <v>0</v>
      </c>
    </row>
    <row r="30" spans="1:14" s="355" customFormat="1" ht="10.199999999999999" x14ac:dyDescent="0.2">
      <c r="A30" s="366"/>
      <c r="B30" s="365" t="s">
        <v>156</v>
      </c>
      <c r="C30" s="364">
        <v>5690.5</v>
      </c>
      <c r="D30" s="364">
        <v>5658.2000000000007</v>
      </c>
      <c r="E30" s="364">
        <v>5656.6</v>
      </c>
      <c r="F30" s="364">
        <v>5343.7</v>
      </c>
      <c r="G30" s="364">
        <v>5888.7</v>
      </c>
      <c r="H30" s="364">
        <v>5879.9</v>
      </c>
      <c r="I30" s="364">
        <v>5868.1</v>
      </c>
      <c r="J30" s="396">
        <v>5715.7000000000007</v>
      </c>
      <c r="K30" s="364">
        <v>5829</v>
      </c>
      <c r="L30" s="364">
        <v>5784.5</v>
      </c>
      <c r="M30" s="364">
        <v>5856.8</v>
      </c>
      <c r="N30" s="363">
        <v>5808.8</v>
      </c>
    </row>
    <row r="31" spans="1:14" s="355" customFormat="1" ht="10.199999999999999" x14ac:dyDescent="0.2">
      <c r="A31" s="370">
        <v>5</v>
      </c>
      <c r="B31" s="369" t="s">
        <v>157</v>
      </c>
      <c r="C31" s="386">
        <f>SUM(C32:C33)</f>
        <v>529.69999999999993</v>
      </c>
      <c r="D31" s="386">
        <f>SUM(D32:D33)</f>
        <v>529.69999999999993</v>
      </c>
      <c r="E31" s="386">
        <f>SUM(E32:E33)</f>
        <v>529.69999999999993</v>
      </c>
      <c r="F31" s="386">
        <f>SUM(F32:F33)</f>
        <v>529.69999999999993</v>
      </c>
      <c r="G31" s="386">
        <v>10.8</v>
      </c>
      <c r="H31" s="386">
        <f t="shared" ref="H31:N31" si="4">SUM(H32:H33)</f>
        <v>557.9</v>
      </c>
      <c r="I31" s="386">
        <f t="shared" si="4"/>
        <v>557.9</v>
      </c>
      <c r="J31" s="386">
        <f t="shared" si="4"/>
        <v>566.79999999999995</v>
      </c>
      <c r="K31" s="387">
        <f t="shared" si="4"/>
        <v>565.4</v>
      </c>
      <c r="L31" s="386">
        <f t="shared" si="4"/>
        <v>566.9</v>
      </c>
      <c r="M31" s="386">
        <f t="shared" si="4"/>
        <v>566.9</v>
      </c>
      <c r="N31" s="385">
        <f t="shared" si="4"/>
        <v>528</v>
      </c>
    </row>
    <row r="32" spans="1:14" s="355" customFormat="1" ht="10.199999999999999" x14ac:dyDescent="0.2">
      <c r="A32" s="366"/>
      <c r="B32" s="365" t="s">
        <v>135</v>
      </c>
      <c r="C32" s="383">
        <v>10</v>
      </c>
      <c r="D32" s="383">
        <v>10.8</v>
      </c>
      <c r="E32" s="383">
        <v>10.8</v>
      </c>
      <c r="F32" s="383">
        <v>10.8</v>
      </c>
      <c r="G32" s="383">
        <v>518.79999999999995</v>
      </c>
      <c r="H32" s="383">
        <v>10.8</v>
      </c>
      <c r="I32" s="383">
        <v>10.8</v>
      </c>
      <c r="J32" s="397">
        <v>10.8</v>
      </c>
      <c r="K32" s="384">
        <v>10.8</v>
      </c>
      <c r="L32" s="383">
        <v>10.8</v>
      </c>
      <c r="M32" s="383">
        <v>10.9</v>
      </c>
      <c r="N32" s="382">
        <v>10.9</v>
      </c>
    </row>
    <row r="33" spans="1:14" s="355" customFormat="1" ht="10.199999999999999" x14ac:dyDescent="0.2">
      <c r="A33" s="366"/>
      <c r="B33" s="365" t="s">
        <v>158</v>
      </c>
      <c r="C33" s="364">
        <v>519.69999999999993</v>
      </c>
      <c r="D33" s="364">
        <v>518.9</v>
      </c>
      <c r="E33" s="364">
        <v>518.9</v>
      </c>
      <c r="F33" s="364">
        <v>518.9</v>
      </c>
      <c r="G33" s="364">
        <v>486.15</v>
      </c>
      <c r="H33" s="364">
        <v>547.1</v>
      </c>
      <c r="I33" s="364">
        <v>547.1</v>
      </c>
      <c r="J33" s="396">
        <v>556</v>
      </c>
      <c r="K33" s="375">
        <v>554.6</v>
      </c>
      <c r="L33" s="364">
        <v>556.1</v>
      </c>
      <c r="M33" s="364">
        <v>556</v>
      </c>
      <c r="N33" s="363">
        <v>517.1</v>
      </c>
    </row>
    <row r="34" spans="1:14" s="373" customFormat="1" ht="10.199999999999999" hidden="1" x14ac:dyDescent="0.2">
      <c r="A34" s="381">
        <v>6</v>
      </c>
      <c r="B34" s="380" t="s">
        <v>115</v>
      </c>
      <c r="C34" s="379">
        <f t="shared" ref="C34:K34" si="5">SUM(C35:C37)</f>
        <v>0</v>
      </c>
      <c r="D34" s="379">
        <f t="shared" si="5"/>
        <v>0</v>
      </c>
      <c r="E34" s="379">
        <f t="shared" si="5"/>
        <v>0</v>
      </c>
      <c r="F34" s="379">
        <f t="shared" si="5"/>
        <v>0</v>
      </c>
      <c r="G34" s="379">
        <f t="shared" si="5"/>
        <v>0</v>
      </c>
      <c r="H34" s="379">
        <f t="shared" si="5"/>
        <v>0</v>
      </c>
      <c r="I34" s="379">
        <f t="shared" si="5"/>
        <v>0</v>
      </c>
      <c r="J34" s="379">
        <f t="shared" si="5"/>
        <v>0</v>
      </c>
      <c r="K34" s="379">
        <f t="shared" si="5"/>
        <v>0</v>
      </c>
      <c r="L34" s="379">
        <v>0</v>
      </c>
      <c r="M34" s="379">
        <v>0</v>
      </c>
      <c r="N34" s="378"/>
    </row>
    <row r="35" spans="1:14" s="373" customFormat="1" ht="10.199999999999999" hidden="1" x14ac:dyDescent="0.2">
      <c r="A35" s="377"/>
      <c r="B35" s="376" t="s">
        <v>135</v>
      </c>
      <c r="C35" s="375">
        <v>0</v>
      </c>
      <c r="D35" s="375">
        <v>0</v>
      </c>
      <c r="E35" s="375">
        <v>0</v>
      </c>
      <c r="F35" s="375">
        <v>0</v>
      </c>
      <c r="G35" s="375">
        <v>0</v>
      </c>
      <c r="H35" s="375">
        <v>0</v>
      </c>
      <c r="I35" s="375">
        <v>0</v>
      </c>
      <c r="J35" s="375">
        <v>0</v>
      </c>
      <c r="K35" s="375">
        <v>0</v>
      </c>
      <c r="L35" s="375">
        <v>0</v>
      </c>
      <c r="M35" s="375">
        <v>0</v>
      </c>
      <c r="N35" s="374">
        <v>0</v>
      </c>
    </row>
    <row r="36" spans="1:14" s="373" customFormat="1" ht="10.199999999999999" hidden="1" x14ac:dyDescent="0.2">
      <c r="A36" s="377"/>
      <c r="B36" s="376" t="s">
        <v>159</v>
      </c>
      <c r="C36" s="375">
        <v>0</v>
      </c>
      <c r="D36" s="375">
        <v>0</v>
      </c>
      <c r="E36" s="375">
        <v>0</v>
      </c>
      <c r="F36" s="375">
        <v>0</v>
      </c>
      <c r="G36" s="375">
        <v>0</v>
      </c>
      <c r="H36" s="375">
        <v>0</v>
      </c>
      <c r="I36" s="375">
        <v>0</v>
      </c>
      <c r="J36" s="375">
        <v>0</v>
      </c>
      <c r="K36" s="375">
        <v>0</v>
      </c>
      <c r="L36" s="375">
        <v>0</v>
      </c>
      <c r="M36" s="375">
        <v>0</v>
      </c>
      <c r="N36" s="374">
        <v>0</v>
      </c>
    </row>
    <row r="37" spans="1:14" s="373" customFormat="1" ht="10.199999999999999" hidden="1" x14ac:dyDescent="0.2">
      <c r="A37" s="377"/>
      <c r="B37" s="376" t="s">
        <v>140</v>
      </c>
      <c r="C37" s="375">
        <v>0</v>
      </c>
      <c r="D37" s="375">
        <v>0</v>
      </c>
      <c r="E37" s="375">
        <v>0</v>
      </c>
      <c r="F37" s="375">
        <v>0</v>
      </c>
      <c r="G37" s="375">
        <v>0</v>
      </c>
      <c r="H37" s="375">
        <v>0</v>
      </c>
      <c r="I37" s="375">
        <v>0</v>
      </c>
      <c r="J37" s="375">
        <v>0</v>
      </c>
      <c r="K37" s="375">
        <v>0</v>
      </c>
      <c r="L37" s="375">
        <v>0</v>
      </c>
      <c r="M37" s="375">
        <v>0</v>
      </c>
      <c r="N37" s="374">
        <v>0</v>
      </c>
    </row>
    <row r="38" spans="1:14" s="355" customFormat="1" ht="10.199999999999999" x14ac:dyDescent="0.2">
      <c r="A38" s="370"/>
      <c r="B38" s="369" t="s">
        <v>147</v>
      </c>
      <c r="C38" s="368">
        <f t="shared" ref="C38:N38" si="6">+C7+C13+C19+C25+C31</f>
        <v>308710.70000000007</v>
      </c>
      <c r="D38" s="368">
        <f t="shared" si="6"/>
        <v>332335.70000000007</v>
      </c>
      <c r="E38" s="368">
        <f t="shared" si="6"/>
        <v>341250.70000000007</v>
      </c>
      <c r="F38" s="368">
        <f t="shared" si="6"/>
        <v>381047.10000000003</v>
      </c>
      <c r="G38" s="368">
        <f t="shared" si="6"/>
        <v>388027.39999999997</v>
      </c>
      <c r="H38" s="368">
        <f t="shared" si="6"/>
        <v>394499.5</v>
      </c>
      <c r="I38" s="368">
        <f t="shared" si="6"/>
        <v>394499.5</v>
      </c>
      <c r="J38" s="368">
        <f t="shared" si="6"/>
        <v>388258.39999999997</v>
      </c>
      <c r="K38" s="368">
        <f t="shared" si="6"/>
        <v>399166.70000000007</v>
      </c>
      <c r="L38" s="368">
        <f t="shared" si="6"/>
        <v>399878.10000000003</v>
      </c>
      <c r="M38" s="368">
        <f t="shared" si="6"/>
        <v>399937.60000000003</v>
      </c>
      <c r="N38" s="368">
        <f t="shared" si="6"/>
        <v>390898.7</v>
      </c>
    </row>
    <row r="39" spans="1:14" s="355" customFormat="1" ht="10.199999999999999" x14ac:dyDescent="0.2">
      <c r="A39" s="370">
        <v>7</v>
      </c>
      <c r="B39" s="369" t="s">
        <v>166</v>
      </c>
      <c r="C39" s="368">
        <f t="shared" ref="C39:N39" si="7">C40</f>
        <v>-228942.2</v>
      </c>
      <c r="D39" s="368">
        <f t="shared" si="7"/>
        <v>-258381.1</v>
      </c>
      <c r="E39" s="368">
        <f t="shared" si="7"/>
        <v>-246040.8</v>
      </c>
      <c r="F39" s="368">
        <f t="shared" si="7"/>
        <v>-308740.2</v>
      </c>
      <c r="G39" s="368">
        <f t="shared" si="7"/>
        <v>-348993.8</v>
      </c>
      <c r="H39" s="368">
        <f t="shared" si="7"/>
        <v>-303173.90000000002</v>
      </c>
      <c r="I39" s="368">
        <f t="shared" si="7"/>
        <v>-301639.59999999998</v>
      </c>
      <c r="J39" s="368">
        <f t="shared" si="7"/>
        <v>-274025.3</v>
      </c>
      <c r="K39" s="368">
        <f t="shared" si="7"/>
        <v>288638.2</v>
      </c>
      <c r="L39" s="368">
        <f t="shared" si="7"/>
        <v>269507.59999999998</v>
      </c>
      <c r="M39" s="368">
        <f t="shared" si="7"/>
        <v>248484.6</v>
      </c>
      <c r="N39" s="367">
        <f t="shared" si="7"/>
        <v>-126148.4</v>
      </c>
    </row>
    <row r="40" spans="1:14" s="355" customFormat="1" ht="10.199999999999999" x14ac:dyDescent="0.2">
      <c r="A40" s="366"/>
      <c r="B40" s="365" t="s">
        <v>167</v>
      </c>
      <c r="C40" s="395">
        <v>-228942.2</v>
      </c>
      <c r="D40" s="395">
        <v>-258381.1</v>
      </c>
      <c r="E40" s="395">
        <v>-246040.8</v>
      </c>
      <c r="F40" s="395">
        <v>-308740.2</v>
      </c>
      <c r="G40" s="395">
        <v>-348993.8</v>
      </c>
      <c r="H40" s="395">
        <v>-303173.90000000002</v>
      </c>
      <c r="I40" s="395">
        <v>-301639.59999999998</v>
      </c>
      <c r="J40" s="395">
        <v>-274025.3</v>
      </c>
      <c r="K40" s="395">
        <v>288638.2</v>
      </c>
      <c r="L40" s="395">
        <v>269507.59999999998</v>
      </c>
      <c r="M40" s="395">
        <v>248484.6</v>
      </c>
      <c r="N40" s="394">
        <v>-126148.4</v>
      </c>
    </row>
    <row r="41" spans="1:14" s="355" customFormat="1" ht="10.199999999999999" x14ac:dyDescent="0.2">
      <c r="A41" s="370"/>
      <c r="B41" s="369" t="s">
        <v>147</v>
      </c>
      <c r="C41" s="368">
        <f t="shared" ref="C41:N41" si="8">SUM(C42:C46)</f>
        <v>79768.5</v>
      </c>
      <c r="D41" s="368">
        <f t="shared" si="8"/>
        <v>73954.60000000002</v>
      </c>
      <c r="E41" s="368">
        <f t="shared" si="8"/>
        <v>95209.900000000023</v>
      </c>
      <c r="F41" s="368">
        <f t="shared" si="8"/>
        <v>72306.900000000023</v>
      </c>
      <c r="G41" s="368">
        <f t="shared" si="8"/>
        <v>40027.750000000015</v>
      </c>
      <c r="H41" s="368">
        <f t="shared" si="8"/>
        <v>91325.599999999948</v>
      </c>
      <c r="I41" s="368">
        <f t="shared" si="8"/>
        <v>92859.900000000023</v>
      </c>
      <c r="J41" s="368">
        <f t="shared" si="8"/>
        <v>114233.1</v>
      </c>
      <c r="K41" s="368">
        <f t="shared" si="8"/>
        <v>687804.9</v>
      </c>
      <c r="L41" s="368">
        <f t="shared" si="8"/>
        <v>669385.69999999995</v>
      </c>
      <c r="M41" s="368">
        <f t="shared" si="8"/>
        <v>648422.19999999995</v>
      </c>
      <c r="N41" s="367">
        <f t="shared" si="8"/>
        <v>264750.3</v>
      </c>
    </row>
    <row r="42" spans="1:14" s="355" customFormat="1" ht="10.199999999999999" x14ac:dyDescent="0.2">
      <c r="A42" s="366"/>
      <c r="B42" s="365" t="s">
        <v>135</v>
      </c>
      <c r="C42" s="364">
        <f t="shared" ref="C42:N42" si="9">C8+C14+C20+C26+C32+C35+C40</f>
        <v>-187075.30000000002</v>
      </c>
      <c r="D42" s="364">
        <f t="shared" si="9"/>
        <v>-222006.1</v>
      </c>
      <c r="E42" s="364">
        <f t="shared" si="9"/>
        <v>-210164.19999999998</v>
      </c>
      <c r="F42" s="364">
        <f t="shared" si="9"/>
        <v>-271500.7</v>
      </c>
      <c r="G42" s="364">
        <f t="shared" si="9"/>
        <v>-307690.8</v>
      </c>
      <c r="H42" s="364">
        <f t="shared" si="9"/>
        <v>-209729.40000000002</v>
      </c>
      <c r="I42" s="364">
        <f t="shared" si="9"/>
        <v>-198505.49999999997</v>
      </c>
      <c r="J42" s="364">
        <f t="shared" si="9"/>
        <v>-174362</v>
      </c>
      <c r="K42" s="364">
        <f t="shared" si="9"/>
        <v>375188</v>
      </c>
      <c r="L42" s="364">
        <f t="shared" si="9"/>
        <v>364588.5</v>
      </c>
      <c r="M42" s="364">
        <f t="shared" si="9"/>
        <v>334605</v>
      </c>
      <c r="N42" s="363">
        <f t="shared" si="9"/>
        <v>-51560.900000000009</v>
      </c>
    </row>
    <row r="43" spans="1:14" s="355" customFormat="1" ht="10.199999999999999" x14ac:dyDescent="0.2">
      <c r="A43" s="366"/>
      <c r="B43" s="365" t="s">
        <v>136</v>
      </c>
      <c r="C43" s="364">
        <f t="shared" ref="C43:N43" si="10">C9+C15+C21+C27+C36</f>
        <v>227931.7</v>
      </c>
      <c r="D43" s="364">
        <f t="shared" si="10"/>
        <v>254797.40000000002</v>
      </c>
      <c r="E43" s="364">
        <f t="shared" si="10"/>
        <v>263438.5</v>
      </c>
      <c r="F43" s="364">
        <f t="shared" si="10"/>
        <v>298796.90000000002</v>
      </c>
      <c r="G43" s="364">
        <f t="shared" si="10"/>
        <v>301862</v>
      </c>
      <c r="H43" s="364">
        <f t="shared" si="10"/>
        <v>260116.59999999998</v>
      </c>
      <c r="I43" s="364">
        <f t="shared" si="10"/>
        <v>250418.8</v>
      </c>
      <c r="J43" s="364">
        <f t="shared" si="10"/>
        <v>248178.7</v>
      </c>
      <c r="K43" s="364">
        <f t="shared" si="10"/>
        <v>271838.5</v>
      </c>
      <c r="L43" s="364">
        <f t="shared" si="10"/>
        <v>264133.5</v>
      </c>
      <c r="M43" s="364">
        <f t="shared" si="10"/>
        <v>273168.5</v>
      </c>
      <c r="N43" s="363">
        <f t="shared" si="10"/>
        <v>275863.5</v>
      </c>
    </row>
    <row r="44" spans="1:14" s="355" customFormat="1" ht="10.199999999999999" x14ac:dyDescent="0.2">
      <c r="A44" s="366"/>
      <c r="B44" s="365" t="s">
        <v>154</v>
      </c>
      <c r="C44" s="364">
        <f t="shared" ref="C44:N44" si="11">C10+C16+C22+C28</f>
        <v>7014.8</v>
      </c>
      <c r="D44" s="364">
        <f t="shared" si="11"/>
        <v>9063.1</v>
      </c>
      <c r="E44" s="364">
        <f t="shared" si="11"/>
        <v>9737.1</v>
      </c>
      <c r="F44" s="364">
        <f t="shared" si="11"/>
        <v>11569</v>
      </c>
      <c r="G44" s="364">
        <f t="shared" si="11"/>
        <v>11627.7</v>
      </c>
      <c r="H44" s="364">
        <f t="shared" si="11"/>
        <v>8166.0999999999995</v>
      </c>
      <c r="I44" s="364">
        <f t="shared" si="11"/>
        <v>8126.0999999999995</v>
      </c>
      <c r="J44" s="364">
        <f t="shared" si="11"/>
        <v>7974.4</v>
      </c>
      <c r="K44" s="364">
        <f t="shared" si="11"/>
        <v>8154.4</v>
      </c>
      <c r="L44" s="364">
        <f t="shared" si="11"/>
        <v>8124.4</v>
      </c>
      <c r="M44" s="364">
        <f t="shared" si="11"/>
        <v>8039.4</v>
      </c>
      <c r="N44" s="363">
        <f t="shared" si="11"/>
        <v>7989.4</v>
      </c>
    </row>
    <row r="45" spans="1:14" s="355" customFormat="1" ht="10.199999999999999" x14ac:dyDescent="0.2">
      <c r="A45" s="366"/>
      <c r="B45" s="365" t="s">
        <v>155</v>
      </c>
      <c r="C45" s="364">
        <f t="shared" ref="C45:N45" si="12">C11+C17+C23+C29</f>
        <v>3948.3</v>
      </c>
      <c r="D45" s="364">
        <f t="shared" si="12"/>
        <v>4183.3</v>
      </c>
      <c r="E45" s="364">
        <f t="shared" si="12"/>
        <v>4253.2</v>
      </c>
      <c r="F45" s="364">
        <f t="shared" si="12"/>
        <v>5274.3</v>
      </c>
      <c r="G45" s="364">
        <f t="shared" si="12"/>
        <v>5549.3</v>
      </c>
      <c r="H45" s="364">
        <f t="shared" si="12"/>
        <v>3807.7</v>
      </c>
      <c r="I45" s="364">
        <f t="shared" si="12"/>
        <v>3897.7</v>
      </c>
      <c r="J45" s="364">
        <f t="shared" si="12"/>
        <v>3682.7</v>
      </c>
      <c r="K45" s="364">
        <f t="shared" si="12"/>
        <v>3777.7</v>
      </c>
      <c r="L45" s="364">
        <f t="shared" si="12"/>
        <v>3742.7</v>
      </c>
      <c r="M45" s="364">
        <f t="shared" si="12"/>
        <v>3742.7</v>
      </c>
      <c r="N45" s="363">
        <f t="shared" si="12"/>
        <v>3687.7</v>
      </c>
    </row>
    <row r="46" spans="1:14" s="355" customFormat="1" ht="10.199999999999999" x14ac:dyDescent="0.2">
      <c r="A46" s="366"/>
      <c r="B46" s="365" t="s">
        <v>156</v>
      </c>
      <c r="C46" s="364">
        <f t="shared" ref="C46:N46" si="13">C12+C18+C24+C30+C37+C33</f>
        <v>27949</v>
      </c>
      <c r="D46" s="364">
        <f t="shared" si="13"/>
        <v>27916.9</v>
      </c>
      <c r="E46" s="364">
        <f t="shared" si="13"/>
        <v>27945.300000000003</v>
      </c>
      <c r="F46" s="364">
        <f t="shared" si="13"/>
        <v>28167.4</v>
      </c>
      <c r="G46" s="364">
        <f t="shared" si="13"/>
        <v>28679.550000000003</v>
      </c>
      <c r="H46" s="364">
        <f t="shared" si="13"/>
        <v>28964.6</v>
      </c>
      <c r="I46" s="364">
        <f t="shared" si="13"/>
        <v>28922.800000000003</v>
      </c>
      <c r="J46" s="364">
        <f t="shared" si="13"/>
        <v>28759.3</v>
      </c>
      <c r="K46" s="364">
        <f t="shared" si="13"/>
        <v>28846.299999999996</v>
      </c>
      <c r="L46" s="364">
        <f t="shared" si="13"/>
        <v>28796.599999999995</v>
      </c>
      <c r="M46" s="364">
        <f t="shared" si="13"/>
        <v>28866.6</v>
      </c>
      <c r="N46" s="363">
        <f t="shared" si="13"/>
        <v>28770.599999999995</v>
      </c>
    </row>
    <row r="47" spans="1:14" s="355" customFormat="1" ht="21" thickBot="1" x14ac:dyDescent="0.25">
      <c r="A47" s="362"/>
      <c r="B47" s="361" t="s">
        <v>161</v>
      </c>
      <c r="C47" s="360">
        <f t="shared" ref="C47:N47" si="14">C41-C39</f>
        <v>308710.7</v>
      </c>
      <c r="D47" s="360">
        <f t="shared" si="14"/>
        <v>332335.7</v>
      </c>
      <c r="E47" s="360">
        <f t="shared" si="14"/>
        <v>341250.7</v>
      </c>
      <c r="F47" s="359">
        <f t="shared" si="14"/>
        <v>381047.10000000003</v>
      </c>
      <c r="G47" s="359">
        <f t="shared" si="14"/>
        <v>389021.55</v>
      </c>
      <c r="H47" s="359">
        <f t="shared" si="14"/>
        <v>394499.5</v>
      </c>
      <c r="I47" s="359">
        <f t="shared" si="14"/>
        <v>394499.5</v>
      </c>
      <c r="J47" s="359">
        <f t="shared" si="14"/>
        <v>388258.4</v>
      </c>
      <c r="K47" s="359">
        <f t="shared" si="14"/>
        <v>399166.7</v>
      </c>
      <c r="L47" s="359">
        <f t="shared" si="14"/>
        <v>399878.1</v>
      </c>
      <c r="M47" s="359">
        <f t="shared" si="14"/>
        <v>399937.6</v>
      </c>
      <c r="N47" s="358">
        <f t="shared" si="14"/>
        <v>390898.69999999995</v>
      </c>
    </row>
    <row r="48" spans="1:14" s="355" customFormat="1" ht="10.8" thickTop="1" x14ac:dyDescent="0.2">
      <c r="A48" s="357" t="s">
        <v>162</v>
      </c>
      <c r="B48" s="356"/>
    </row>
    <row r="49" spans="1:2" s="355" customFormat="1" ht="10.199999999999999" x14ac:dyDescent="0.2">
      <c r="A49" s="357" t="s">
        <v>163</v>
      </c>
      <c r="B49" s="356"/>
    </row>
    <row r="50" spans="1:2" s="355" customFormat="1" ht="10.199999999999999" x14ac:dyDescent="0.2"/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zoomScale="120" zoomScaleNormal="120" workbookViewId="0">
      <selection activeCell="A5" sqref="A5:N6"/>
    </sheetView>
  </sheetViews>
  <sheetFormatPr defaultRowHeight="13.2" x14ac:dyDescent="0.25"/>
  <cols>
    <col min="1" max="1" width="6.33203125" style="354" customWidth="1"/>
    <col min="2" max="2" width="25" style="354" customWidth="1"/>
    <col min="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174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173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f t="shared" ref="C7:N7" si="0">SUM(C8:C12)</f>
        <v>144847.9</v>
      </c>
      <c r="D7" s="368">
        <f t="shared" si="0"/>
        <v>144847.9</v>
      </c>
      <c r="E7" s="368">
        <f t="shared" si="0"/>
        <v>144847.9</v>
      </c>
      <c r="F7" s="389">
        <f t="shared" si="0"/>
        <v>144847.9</v>
      </c>
      <c r="G7" s="389">
        <f t="shared" si="0"/>
        <v>144847.9</v>
      </c>
      <c r="H7" s="389">
        <f t="shared" si="0"/>
        <v>144847.9</v>
      </c>
      <c r="I7" s="389">
        <f t="shared" si="0"/>
        <v>144847.9</v>
      </c>
      <c r="J7" s="389">
        <f t="shared" si="0"/>
        <v>144847.9</v>
      </c>
      <c r="K7" s="389">
        <f t="shared" si="0"/>
        <v>144847.9</v>
      </c>
      <c r="L7" s="389">
        <f t="shared" si="0"/>
        <v>146927.9</v>
      </c>
      <c r="M7" s="389">
        <f t="shared" si="0"/>
        <v>151282.9</v>
      </c>
      <c r="N7" s="388">
        <f t="shared" si="0"/>
        <v>146793</v>
      </c>
    </row>
    <row r="8" spans="1:14" s="355" customFormat="1" ht="10.199999999999999" x14ac:dyDescent="0.2">
      <c r="A8" s="366"/>
      <c r="B8" s="365" t="s">
        <v>135</v>
      </c>
      <c r="C8" s="364">
        <v>21349.9</v>
      </c>
      <c r="D8" s="364">
        <v>21514.9</v>
      </c>
      <c r="E8" s="364">
        <v>23574.9</v>
      </c>
      <c r="F8" s="364">
        <v>20144.900000000001</v>
      </c>
      <c r="G8" s="364">
        <v>20074.900000000001</v>
      </c>
      <c r="H8" s="364">
        <v>18464.900000000001</v>
      </c>
      <c r="I8" s="364">
        <v>18464.900000000001</v>
      </c>
      <c r="J8" s="364">
        <v>18464.900000000001</v>
      </c>
      <c r="K8" s="364">
        <v>16019.9</v>
      </c>
      <c r="L8" s="364">
        <v>16639.900000000001</v>
      </c>
      <c r="M8" s="364">
        <v>21723.1</v>
      </c>
      <c r="N8" s="363">
        <v>18473.099999999999</v>
      </c>
    </row>
    <row r="9" spans="1:14" s="355" customFormat="1" ht="10.199999999999999" x14ac:dyDescent="0.2">
      <c r="A9" s="366"/>
      <c r="B9" s="365" t="s">
        <v>136</v>
      </c>
      <c r="C9" s="364">
        <v>122433</v>
      </c>
      <c r="D9" s="364">
        <v>122166.6</v>
      </c>
      <c r="E9" s="364">
        <v>119561.60000000001</v>
      </c>
      <c r="F9" s="364">
        <v>122971.6</v>
      </c>
      <c r="G9" s="364">
        <v>122973</v>
      </c>
      <c r="H9" s="364">
        <v>124723</v>
      </c>
      <c r="I9" s="364">
        <v>124028</v>
      </c>
      <c r="J9" s="364">
        <v>123474.1</v>
      </c>
      <c r="K9" s="364">
        <v>123729.1</v>
      </c>
      <c r="L9" s="364">
        <v>125744.1</v>
      </c>
      <c r="M9" s="364">
        <v>125654.8</v>
      </c>
      <c r="N9" s="363">
        <v>125094.9</v>
      </c>
    </row>
    <row r="10" spans="1:14" s="355" customFormat="1" ht="10.199999999999999" x14ac:dyDescent="0.2">
      <c r="A10" s="366"/>
      <c r="B10" s="365" t="s">
        <v>154</v>
      </c>
      <c r="C10" s="364">
        <v>850</v>
      </c>
      <c r="D10" s="364">
        <v>951.4</v>
      </c>
      <c r="E10" s="364">
        <v>1511.4</v>
      </c>
      <c r="F10" s="364">
        <v>1551.4</v>
      </c>
      <c r="G10" s="364">
        <v>1620</v>
      </c>
      <c r="H10" s="364">
        <v>1490</v>
      </c>
      <c r="I10" s="364">
        <v>1940</v>
      </c>
      <c r="J10" s="364">
        <v>2450</v>
      </c>
      <c r="K10" s="364">
        <v>4610</v>
      </c>
      <c r="L10" s="364">
        <v>4155</v>
      </c>
      <c r="M10" s="364">
        <v>3545</v>
      </c>
      <c r="N10" s="363">
        <v>2960.9</v>
      </c>
    </row>
    <row r="11" spans="1:14" s="355" customFormat="1" ht="10.199999999999999" x14ac:dyDescent="0.2">
      <c r="A11" s="366"/>
      <c r="B11" s="365" t="s">
        <v>155</v>
      </c>
      <c r="C11" s="364">
        <v>215</v>
      </c>
      <c r="D11" s="364">
        <v>215</v>
      </c>
      <c r="E11" s="364">
        <v>200</v>
      </c>
      <c r="F11" s="364">
        <v>180</v>
      </c>
      <c r="G11" s="364">
        <v>180</v>
      </c>
      <c r="H11" s="364">
        <v>170</v>
      </c>
      <c r="I11" s="364">
        <v>180</v>
      </c>
      <c r="J11" s="364">
        <v>253.9</v>
      </c>
      <c r="K11" s="364">
        <v>283.89999999999998</v>
      </c>
      <c r="L11" s="364">
        <v>348.9</v>
      </c>
      <c r="M11" s="364">
        <v>320</v>
      </c>
      <c r="N11" s="363">
        <v>262.10000000000002</v>
      </c>
    </row>
    <row r="12" spans="1:14" s="355" customFormat="1" ht="10.199999999999999" x14ac:dyDescent="0.2">
      <c r="A12" s="366"/>
      <c r="B12" s="365" t="s">
        <v>156</v>
      </c>
      <c r="C12" s="364">
        <v>0</v>
      </c>
      <c r="D12" s="364">
        <v>0</v>
      </c>
      <c r="E12" s="364">
        <v>0</v>
      </c>
      <c r="F12" s="364">
        <v>0</v>
      </c>
      <c r="G12" s="364">
        <v>0</v>
      </c>
      <c r="H12" s="364">
        <v>0</v>
      </c>
      <c r="I12" s="364">
        <v>235</v>
      </c>
      <c r="J12" s="364">
        <v>205</v>
      </c>
      <c r="K12" s="364">
        <v>205</v>
      </c>
      <c r="L12" s="364">
        <v>40</v>
      </c>
      <c r="M12" s="364">
        <v>40</v>
      </c>
      <c r="N12" s="363">
        <v>2</v>
      </c>
    </row>
    <row r="13" spans="1:14" s="355" customFormat="1" ht="10.199999999999999" x14ac:dyDescent="0.2">
      <c r="A13" s="370">
        <v>2</v>
      </c>
      <c r="B13" s="369" t="s">
        <v>112</v>
      </c>
      <c r="C13" s="368">
        <f t="shared" ref="C13:N13" si="1">SUM(C14:C18)</f>
        <v>235900</v>
      </c>
      <c r="D13" s="368">
        <f t="shared" si="1"/>
        <v>235900</v>
      </c>
      <c r="E13" s="368">
        <f t="shared" si="1"/>
        <v>235900</v>
      </c>
      <c r="F13" s="368">
        <f t="shared" si="1"/>
        <v>235900</v>
      </c>
      <c r="G13" s="368">
        <f t="shared" si="1"/>
        <v>231700.1</v>
      </c>
      <c r="H13" s="368">
        <f t="shared" si="1"/>
        <v>231700.1</v>
      </c>
      <c r="I13" s="368">
        <f t="shared" si="1"/>
        <v>231700.10000000003</v>
      </c>
      <c r="J13" s="368">
        <f t="shared" si="1"/>
        <v>229600.1</v>
      </c>
      <c r="K13" s="368">
        <f t="shared" si="1"/>
        <v>229600.1</v>
      </c>
      <c r="L13" s="368">
        <f t="shared" si="1"/>
        <v>229600.1</v>
      </c>
      <c r="M13" s="368">
        <f t="shared" si="1"/>
        <v>276547.09999999998</v>
      </c>
      <c r="N13" s="367">
        <f t="shared" si="1"/>
        <v>297346.99999999994</v>
      </c>
    </row>
    <row r="14" spans="1:14" s="355" customFormat="1" ht="10.199999999999999" x14ac:dyDescent="0.2">
      <c r="A14" s="366"/>
      <c r="B14" s="365" t="s">
        <v>135</v>
      </c>
      <c r="C14" s="364">
        <v>45287</v>
      </c>
      <c r="D14" s="364">
        <v>45287</v>
      </c>
      <c r="E14" s="364">
        <v>45287</v>
      </c>
      <c r="F14" s="364">
        <v>45287</v>
      </c>
      <c r="G14" s="364">
        <v>44032.5</v>
      </c>
      <c r="H14" s="364">
        <v>44032.5</v>
      </c>
      <c r="I14" s="364">
        <v>44032.5</v>
      </c>
      <c r="J14" s="364">
        <v>44032.5</v>
      </c>
      <c r="K14" s="364">
        <v>44032.5</v>
      </c>
      <c r="L14" s="364">
        <v>44032.5</v>
      </c>
      <c r="M14" s="364">
        <v>44032.5</v>
      </c>
      <c r="N14" s="363">
        <v>44032.5</v>
      </c>
    </row>
    <row r="15" spans="1:14" s="355" customFormat="1" ht="10.199999999999999" x14ac:dyDescent="0.2">
      <c r="A15" s="366"/>
      <c r="B15" s="365" t="s">
        <v>136</v>
      </c>
      <c r="C15" s="364">
        <v>157710.5</v>
      </c>
      <c r="D15" s="364">
        <v>157710.5</v>
      </c>
      <c r="E15" s="364">
        <v>157710.5</v>
      </c>
      <c r="F15" s="364">
        <v>157710.5</v>
      </c>
      <c r="G15" s="364">
        <v>168410.5</v>
      </c>
      <c r="H15" s="364">
        <v>169116.4</v>
      </c>
      <c r="I15" s="364">
        <v>169955.7</v>
      </c>
      <c r="J15" s="364">
        <v>169807.8</v>
      </c>
      <c r="K15" s="364">
        <v>169807.8</v>
      </c>
      <c r="L15" s="364">
        <v>169807.8</v>
      </c>
      <c r="M15" s="364">
        <v>210794.8</v>
      </c>
      <c r="N15" s="363">
        <v>229793.3</v>
      </c>
    </row>
    <row r="16" spans="1:14" s="355" customFormat="1" ht="10.199999999999999" x14ac:dyDescent="0.2">
      <c r="A16" s="366"/>
      <c r="B16" s="365" t="s">
        <v>154</v>
      </c>
      <c r="C16" s="364">
        <v>7569.4</v>
      </c>
      <c r="D16" s="364">
        <v>7569.4</v>
      </c>
      <c r="E16" s="364">
        <v>7569.4</v>
      </c>
      <c r="F16" s="364">
        <v>7569.4</v>
      </c>
      <c r="G16" s="364">
        <v>7437.1</v>
      </c>
      <c r="H16" s="364">
        <v>7437.1</v>
      </c>
      <c r="I16" s="364">
        <v>7437.1</v>
      </c>
      <c r="J16" s="364">
        <v>7434.6</v>
      </c>
      <c r="K16" s="364">
        <v>7434.6</v>
      </c>
      <c r="L16" s="364">
        <v>7434.6</v>
      </c>
      <c r="M16" s="364">
        <v>10747.6</v>
      </c>
      <c r="N16" s="363">
        <v>12715.1</v>
      </c>
    </row>
    <row r="17" spans="1:14" s="355" customFormat="1" ht="10.199999999999999" x14ac:dyDescent="0.2">
      <c r="A17" s="366"/>
      <c r="B17" s="365" t="s">
        <v>155</v>
      </c>
      <c r="C17" s="364">
        <v>3532.7</v>
      </c>
      <c r="D17" s="364">
        <v>3532.7</v>
      </c>
      <c r="E17" s="364">
        <v>3532.7</v>
      </c>
      <c r="F17" s="364">
        <v>3532.7</v>
      </c>
      <c r="G17" s="364">
        <v>3462.7</v>
      </c>
      <c r="H17" s="364">
        <v>3462.7</v>
      </c>
      <c r="I17" s="364">
        <v>3462.7</v>
      </c>
      <c r="J17" s="364">
        <v>3454.7</v>
      </c>
      <c r="K17" s="364">
        <v>3454.7</v>
      </c>
      <c r="L17" s="364">
        <v>3454.7</v>
      </c>
      <c r="M17" s="364">
        <v>4989</v>
      </c>
      <c r="N17" s="363">
        <v>5060</v>
      </c>
    </row>
    <row r="18" spans="1:14" s="355" customFormat="1" ht="10.199999999999999" x14ac:dyDescent="0.2">
      <c r="A18" s="366"/>
      <c r="B18" s="365" t="s">
        <v>140</v>
      </c>
      <c r="C18" s="364">
        <v>21800.399999999998</v>
      </c>
      <c r="D18" s="364">
        <v>21800.399999999998</v>
      </c>
      <c r="E18" s="364">
        <v>21800.399999999998</v>
      </c>
      <c r="F18" s="364">
        <v>21800.399999999998</v>
      </c>
      <c r="G18" s="364">
        <v>8357.3000000000011</v>
      </c>
      <c r="H18" s="364">
        <v>7651.4</v>
      </c>
      <c r="I18" s="364">
        <v>6812.1</v>
      </c>
      <c r="J18" s="364">
        <v>4870.5</v>
      </c>
      <c r="K18" s="364">
        <v>4870.5</v>
      </c>
      <c r="L18" s="364">
        <v>4870.5</v>
      </c>
      <c r="M18" s="364">
        <v>5983.2</v>
      </c>
      <c r="N18" s="363">
        <v>5746.1</v>
      </c>
    </row>
    <row r="19" spans="1:14" s="355" customFormat="1" ht="10.199999999999999" x14ac:dyDescent="0.2">
      <c r="A19" s="370">
        <v>3</v>
      </c>
      <c r="B19" s="369" t="s">
        <v>113</v>
      </c>
      <c r="C19" s="368">
        <f t="shared" ref="C19:N19" si="2">SUM(C20:C24)</f>
        <v>906.5</v>
      </c>
      <c r="D19" s="368">
        <f t="shared" si="2"/>
        <v>906.5</v>
      </c>
      <c r="E19" s="368">
        <f t="shared" si="2"/>
        <v>906.5</v>
      </c>
      <c r="F19" s="368">
        <f t="shared" si="2"/>
        <v>906.5</v>
      </c>
      <c r="G19" s="368">
        <f t="shared" si="2"/>
        <v>906.5</v>
      </c>
      <c r="H19" s="368">
        <f t="shared" si="2"/>
        <v>0</v>
      </c>
      <c r="I19" s="368">
        <f t="shared" si="2"/>
        <v>0</v>
      </c>
      <c r="J19" s="368">
        <f t="shared" si="2"/>
        <v>0</v>
      </c>
      <c r="K19" s="368">
        <f t="shared" si="2"/>
        <v>0</v>
      </c>
      <c r="L19" s="368">
        <f t="shared" si="2"/>
        <v>0</v>
      </c>
      <c r="M19" s="368">
        <f t="shared" si="2"/>
        <v>0</v>
      </c>
      <c r="N19" s="367">
        <f t="shared" si="2"/>
        <v>0</v>
      </c>
    </row>
    <row r="20" spans="1:14" s="355" customFormat="1" ht="10.199999999999999" x14ac:dyDescent="0.2">
      <c r="A20" s="366"/>
      <c r="B20" s="365" t="s">
        <v>135</v>
      </c>
      <c r="C20" s="364">
        <v>272.89999999999998</v>
      </c>
      <c r="D20" s="364">
        <v>275.39999999999998</v>
      </c>
      <c r="E20" s="364">
        <v>275.39999999999998</v>
      </c>
      <c r="F20" s="364">
        <v>275.39999999999998</v>
      </c>
      <c r="G20" s="364">
        <v>275.39999999999998</v>
      </c>
      <c r="H20" s="364">
        <v>0</v>
      </c>
      <c r="I20" s="364">
        <v>0</v>
      </c>
      <c r="J20" s="364">
        <v>0</v>
      </c>
      <c r="K20" s="364">
        <v>0</v>
      </c>
      <c r="L20" s="364">
        <v>0</v>
      </c>
      <c r="M20" s="364">
        <v>0</v>
      </c>
      <c r="N20" s="363">
        <v>0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64">
        <v>0</v>
      </c>
      <c r="K21" s="364">
        <v>0</v>
      </c>
      <c r="L21" s="364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64">
        <v>0</v>
      </c>
      <c r="K22" s="364">
        <v>0</v>
      </c>
      <c r="L22" s="364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64">
        <v>0</v>
      </c>
      <c r="K23" s="364">
        <v>0</v>
      </c>
      <c r="L23" s="364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633.6</v>
      </c>
      <c r="D24" s="364">
        <v>631.1</v>
      </c>
      <c r="E24" s="364">
        <v>631.1</v>
      </c>
      <c r="F24" s="364">
        <v>631.1</v>
      </c>
      <c r="G24" s="364">
        <v>631.1</v>
      </c>
      <c r="H24" s="364">
        <v>0</v>
      </c>
      <c r="I24" s="364">
        <v>0</v>
      </c>
      <c r="J24" s="364">
        <v>0</v>
      </c>
      <c r="K24" s="364">
        <v>0</v>
      </c>
      <c r="L24" s="364">
        <v>0</v>
      </c>
      <c r="M24" s="364">
        <v>0</v>
      </c>
      <c r="N24" s="363">
        <v>0</v>
      </c>
    </row>
    <row r="25" spans="1:14" s="355" customFormat="1" ht="10.199999999999999" x14ac:dyDescent="0.2">
      <c r="A25" s="370">
        <v>4</v>
      </c>
      <c r="B25" s="369" t="s">
        <v>114</v>
      </c>
      <c r="C25" s="368">
        <f t="shared" ref="C25:N25" si="3">SUM(C26:C30)</f>
        <v>8716.2999999999993</v>
      </c>
      <c r="D25" s="368">
        <f t="shared" si="3"/>
        <v>8716.2999999999993</v>
      </c>
      <c r="E25" s="368">
        <f t="shared" si="3"/>
        <v>8716.2999999999993</v>
      </c>
      <c r="F25" s="368">
        <f t="shared" si="3"/>
        <v>8716.2999999999993</v>
      </c>
      <c r="G25" s="368">
        <f t="shared" si="3"/>
        <v>8716.2999999999993</v>
      </c>
      <c r="H25" s="368">
        <f t="shared" si="3"/>
        <v>8716.2999999999993</v>
      </c>
      <c r="I25" s="368">
        <f t="shared" si="3"/>
        <v>8376.1999999999989</v>
      </c>
      <c r="J25" s="389">
        <f t="shared" si="3"/>
        <v>8376.1</v>
      </c>
      <c r="K25" s="368">
        <f t="shared" si="3"/>
        <v>8376.1</v>
      </c>
      <c r="L25" s="368">
        <f t="shared" si="3"/>
        <v>8376.2000000000007</v>
      </c>
      <c r="M25" s="368">
        <f t="shared" si="3"/>
        <v>8376.2000000000007</v>
      </c>
      <c r="N25" s="367">
        <f t="shared" si="3"/>
        <v>8376.1</v>
      </c>
    </row>
    <row r="26" spans="1:14" s="355" customFormat="1" ht="10.199999999999999" x14ac:dyDescent="0.2">
      <c r="A26" s="366"/>
      <c r="B26" s="365" t="s">
        <v>141</v>
      </c>
      <c r="C26" s="364">
        <v>2925.2</v>
      </c>
      <c r="D26" s="364">
        <v>2934.7</v>
      </c>
      <c r="E26" s="364">
        <v>2934.7</v>
      </c>
      <c r="F26" s="364">
        <v>2934.7</v>
      </c>
      <c r="G26" s="364">
        <v>2942.6</v>
      </c>
      <c r="H26" s="364">
        <v>2971.5</v>
      </c>
      <c r="I26" s="364">
        <v>2709.9</v>
      </c>
      <c r="J26" s="396">
        <v>2716</v>
      </c>
      <c r="K26" s="364">
        <v>2723.8</v>
      </c>
      <c r="L26" s="364">
        <v>2753.1</v>
      </c>
      <c r="M26" s="364">
        <v>2781.8</v>
      </c>
      <c r="N26" s="363">
        <v>2794.9</v>
      </c>
    </row>
    <row r="27" spans="1:14" s="355" customFormat="1" ht="10.199999999999999" x14ac:dyDescent="0.2">
      <c r="A27" s="366"/>
      <c r="B27" s="365" t="s">
        <v>136</v>
      </c>
      <c r="C27" s="364">
        <v>0</v>
      </c>
      <c r="D27" s="364">
        <v>0</v>
      </c>
      <c r="E27" s="364">
        <v>0</v>
      </c>
      <c r="F27" s="364">
        <v>0</v>
      </c>
      <c r="G27" s="364">
        <v>0</v>
      </c>
      <c r="H27" s="364">
        <v>0</v>
      </c>
      <c r="I27" s="364">
        <v>0</v>
      </c>
      <c r="J27" s="396">
        <v>0</v>
      </c>
      <c r="K27" s="364">
        <v>0</v>
      </c>
      <c r="L27" s="364">
        <v>0</v>
      </c>
      <c r="M27" s="364">
        <v>0</v>
      </c>
      <c r="N27" s="363">
        <v>0</v>
      </c>
    </row>
    <row r="28" spans="1:14" s="355" customFormat="1" ht="10.199999999999999" x14ac:dyDescent="0.2">
      <c r="A28" s="366"/>
      <c r="B28" s="365" t="s">
        <v>154</v>
      </c>
      <c r="C28" s="364">
        <v>0</v>
      </c>
      <c r="D28" s="364">
        <v>0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  <c r="J28" s="396">
        <v>0</v>
      </c>
      <c r="K28" s="364">
        <v>0</v>
      </c>
      <c r="L28" s="364">
        <v>0</v>
      </c>
      <c r="M28" s="364">
        <v>0</v>
      </c>
      <c r="N28" s="363">
        <v>0</v>
      </c>
    </row>
    <row r="29" spans="1:14" s="355" customFormat="1" ht="10.199999999999999" x14ac:dyDescent="0.2">
      <c r="A29" s="366"/>
      <c r="B29" s="365" t="s">
        <v>155</v>
      </c>
      <c r="C29" s="364">
        <v>0</v>
      </c>
      <c r="D29" s="364">
        <v>0</v>
      </c>
      <c r="E29" s="364">
        <v>0</v>
      </c>
      <c r="F29" s="364">
        <v>0</v>
      </c>
      <c r="G29" s="364">
        <v>0</v>
      </c>
      <c r="H29" s="364">
        <v>0</v>
      </c>
      <c r="I29" s="364">
        <v>0</v>
      </c>
      <c r="J29" s="396">
        <v>0</v>
      </c>
      <c r="K29" s="364">
        <v>0</v>
      </c>
      <c r="L29" s="364">
        <v>0</v>
      </c>
      <c r="M29" s="364">
        <v>0</v>
      </c>
      <c r="N29" s="363">
        <v>0</v>
      </c>
    </row>
    <row r="30" spans="1:14" s="355" customFormat="1" ht="10.199999999999999" x14ac:dyDescent="0.2">
      <c r="A30" s="366"/>
      <c r="B30" s="365" t="s">
        <v>156</v>
      </c>
      <c r="C30" s="364">
        <v>5791.1</v>
      </c>
      <c r="D30" s="364">
        <v>5781.6</v>
      </c>
      <c r="E30" s="364">
        <v>5781.6</v>
      </c>
      <c r="F30" s="364">
        <v>5781.6</v>
      </c>
      <c r="G30" s="364">
        <v>5773.7</v>
      </c>
      <c r="H30" s="364">
        <v>5744.8</v>
      </c>
      <c r="I30" s="364">
        <v>5666.2999999999993</v>
      </c>
      <c r="J30" s="396">
        <v>5660.1</v>
      </c>
      <c r="K30" s="364">
        <v>5652.3</v>
      </c>
      <c r="L30" s="364">
        <v>5623.1</v>
      </c>
      <c r="M30" s="364">
        <v>5594.4</v>
      </c>
      <c r="N30" s="363">
        <v>5581.2000000000007</v>
      </c>
    </row>
    <row r="31" spans="1:14" s="355" customFormat="1" ht="10.199999999999999" x14ac:dyDescent="0.2">
      <c r="A31" s="370">
        <v>5</v>
      </c>
      <c r="B31" s="369" t="s">
        <v>157</v>
      </c>
      <c r="C31" s="386">
        <f t="shared" ref="C31:N31" si="4">SUM(C32:C33)</f>
        <v>528</v>
      </c>
      <c r="D31" s="386">
        <f t="shared" si="4"/>
        <v>528</v>
      </c>
      <c r="E31" s="386">
        <f t="shared" si="4"/>
        <v>528</v>
      </c>
      <c r="F31" s="386">
        <f t="shared" si="4"/>
        <v>528</v>
      </c>
      <c r="G31" s="386">
        <f t="shared" si="4"/>
        <v>527.99999999999989</v>
      </c>
      <c r="H31" s="386">
        <f t="shared" si="4"/>
        <v>501.5</v>
      </c>
      <c r="I31" s="386">
        <f t="shared" si="4"/>
        <v>501.5</v>
      </c>
      <c r="J31" s="386">
        <f t="shared" si="4"/>
        <v>501.5</v>
      </c>
      <c r="K31" s="387">
        <f t="shared" si="4"/>
        <v>451.5</v>
      </c>
      <c r="L31" s="386">
        <f t="shared" si="4"/>
        <v>451.5</v>
      </c>
      <c r="M31" s="386">
        <f t="shared" si="4"/>
        <v>451.6</v>
      </c>
      <c r="N31" s="385">
        <f t="shared" si="4"/>
        <v>451.59999999999997</v>
      </c>
    </row>
    <row r="32" spans="1:14" s="355" customFormat="1" ht="10.199999999999999" x14ac:dyDescent="0.2">
      <c r="A32" s="366"/>
      <c r="B32" s="365" t="s">
        <v>135</v>
      </c>
      <c r="C32" s="383">
        <v>10.9</v>
      </c>
      <c r="D32" s="383">
        <v>10.9</v>
      </c>
      <c r="E32" s="383">
        <v>10.9</v>
      </c>
      <c r="F32" s="383">
        <v>10.9</v>
      </c>
      <c r="G32" s="383">
        <v>10.9</v>
      </c>
      <c r="H32" s="383">
        <v>8.3000000000000007</v>
      </c>
      <c r="I32" s="383">
        <v>8.3000000000000007</v>
      </c>
      <c r="J32" s="397">
        <v>8.4</v>
      </c>
      <c r="K32" s="384">
        <v>6.3</v>
      </c>
      <c r="L32" s="383">
        <v>6.3</v>
      </c>
      <c r="M32" s="383">
        <v>6.3</v>
      </c>
      <c r="N32" s="382">
        <v>12.7</v>
      </c>
    </row>
    <row r="33" spans="1:14" s="355" customFormat="1" ht="10.199999999999999" x14ac:dyDescent="0.2">
      <c r="A33" s="366"/>
      <c r="B33" s="365" t="s">
        <v>158</v>
      </c>
      <c r="C33" s="364">
        <v>517.1</v>
      </c>
      <c r="D33" s="364">
        <v>517.1</v>
      </c>
      <c r="E33" s="364">
        <v>517.1</v>
      </c>
      <c r="F33" s="364">
        <v>517.1</v>
      </c>
      <c r="G33" s="364">
        <v>517.09999999999991</v>
      </c>
      <c r="H33" s="364">
        <v>493.2</v>
      </c>
      <c r="I33" s="364">
        <v>493.2</v>
      </c>
      <c r="J33" s="396">
        <v>493.1</v>
      </c>
      <c r="K33" s="375">
        <v>445.2</v>
      </c>
      <c r="L33" s="364">
        <v>445.2</v>
      </c>
      <c r="M33" s="364">
        <v>445.3</v>
      </c>
      <c r="N33" s="363">
        <v>438.9</v>
      </c>
    </row>
    <row r="34" spans="1:14" s="373" customFormat="1" ht="10.199999999999999" hidden="1" x14ac:dyDescent="0.2">
      <c r="A34" s="381">
        <v>6</v>
      </c>
      <c r="B34" s="380" t="s">
        <v>115</v>
      </c>
      <c r="C34" s="379">
        <f t="shared" ref="C34:K34" si="5">SUM(C35:C37)</f>
        <v>0</v>
      </c>
      <c r="D34" s="379">
        <f t="shared" si="5"/>
        <v>0</v>
      </c>
      <c r="E34" s="379">
        <f t="shared" si="5"/>
        <v>0</v>
      </c>
      <c r="F34" s="379">
        <f t="shared" si="5"/>
        <v>0</v>
      </c>
      <c r="G34" s="379">
        <f t="shared" si="5"/>
        <v>0</v>
      </c>
      <c r="H34" s="379">
        <f t="shared" si="5"/>
        <v>0</v>
      </c>
      <c r="I34" s="379">
        <f t="shared" si="5"/>
        <v>0</v>
      </c>
      <c r="J34" s="379">
        <f t="shared" si="5"/>
        <v>0</v>
      </c>
      <c r="K34" s="379">
        <f t="shared" si="5"/>
        <v>0</v>
      </c>
      <c r="L34" s="379">
        <v>0</v>
      </c>
      <c r="M34" s="379">
        <v>0</v>
      </c>
      <c r="N34" s="378"/>
    </row>
    <row r="35" spans="1:14" s="373" customFormat="1" ht="10.199999999999999" hidden="1" x14ac:dyDescent="0.2">
      <c r="A35" s="377"/>
      <c r="B35" s="376" t="s">
        <v>135</v>
      </c>
      <c r="C35" s="375">
        <v>0</v>
      </c>
      <c r="D35" s="375">
        <v>0</v>
      </c>
      <c r="E35" s="375">
        <v>0</v>
      </c>
      <c r="F35" s="375">
        <v>0</v>
      </c>
      <c r="G35" s="375">
        <v>0</v>
      </c>
      <c r="H35" s="375">
        <v>0</v>
      </c>
      <c r="I35" s="375">
        <v>0</v>
      </c>
      <c r="J35" s="375">
        <v>0</v>
      </c>
      <c r="K35" s="375">
        <v>0</v>
      </c>
      <c r="L35" s="375">
        <v>0</v>
      </c>
      <c r="M35" s="375">
        <v>0</v>
      </c>
      <c r="N35" s="398">
        <v>0</v>
      </c>
    </row>
    <row r="36" spans="1:14" s="373" customFormat="1" ht="10.199999999999999" hidden="1" x14ac:dyDescent="0.2">
      <c r="A36" s="377"/>
      <c r="B36" s="376" t="s">
        <v>159</v>
      </c>
      <c r="C36" s="375">
        <v>0</v>
      </c>
      <c r="D36" s="375">
        <v>0</v>
      </c>
      <c r="E36" s="375">
        <v>0</v>
      </c>
      <c r="F36" s="375">
        <v>0</v>
      </c>
      <c r="G36" s="375">
        <v>0</v>
      </c>
      <c r="H36" s="375">
        <v>0</v>
      </c>
      <c r="I36" s="375">
        <v>0</v>
      </c>
      <c r="J36" s="375">
        <v>0</v>
      </c>
      <c r="K36" s="375">
        <v>0</v>
      </c>
      <c r="L36" s="375">
        <v>0</v>
      </c>
      <c r="M36" s="375">
        <v>0</v>
      </c>
      <c r="N36" s="398">
        <v>0</v>
      </c>
    </row>
    <row r="37" spans="1:14" s="373" customFormat="1" ht="10.199999999999999" hidden="1" x14ac:dyDescent="0.2">
      <c r="A37" s="377"/>
      <c r="B37" s="376" t="s">
        <v>140</v>
      </c>
      <c r="C37" s="375">
        <v>0</v>
      </c>
      <c r="D37" s="375">
        <v>0</v>
      </c>
      <c r="E37" s="375">
        <v>0</v>
      </c>
      <c r="F37" s="375">
        <v>0</v>
      </c>
      <c r="G37" s="375">
        <v>0</v>
      </c>
      <c r="H37" s="375">
        <v>0</v>
      </c>
      <c r="I37" s="375">
        <v>0</v>
      </c>
      <c r="J37" s="375">
        <v>0</v>
      </c>
      <c r="K37" s="375">
        <v>0</v>
      </c>
      <c r="L37" s="375">
        <v>0</v>
      </c>
      <c r="M37" s="375">
        <v>0</v>
      </c>
      <c r="N37" s="398">
        <v>0</v>
      </c>
    </row>
    <row r="38" spans="1:14" s="355" customFormat="1" ht="10.199999999999999" x14ac:dyDescent="0.2">
      <c r="A38" s="370"/>
      <c r="B38" s="369" t="s">
        <v>147</v>
      </c>
      <c r="C38" s="368">
        <f t="shared" ref="C38:N38" si="6">+C7+C13+C19+C25+C31</f>
        <v>390898.7</v>
      </c>
      <c r="D38" s="368">
        <f t="shared" si="6"/>
        <v>390898.7</v>
      </c>
      <c r="E38" s="368">
        <f t="shared" si="6"/>
        <v>390898.7</v>
      </c>
      <c r="F38" s="368">
        <f t="shared" si="6"/>
        <v>390898.7</v>
      </c>
      <c r="G38" s="368">
        <f t="shared" si="6"/>
        <v>386698.8</v>
      </c>
      <c r="H38" s="368">
        <f t="shared" si="6"/>
        <v>385765.8</v>
      </c>
      <c r="I38" s="368">
        <f t="shared" si="6"/>
        <v>385425.7</v>
      </c>
      <c r="J38" s="368">
        <f t="shared" si="6"/>
        <v>383325.6</v>
      </c>
      <c r="K38" s="368">
        <f t="shared" si="6"/>
        <v>383275.6</v>
      </c>
      <c r="L38" s="368">
        <f t="shared" si="6"/>
        <v>385355.7</v>
      </c>
      <c r="M38" s="368">
        <f t="shared" si="6"/>
        <v>436657.8</v>
      </c>
      <c r="N38" s="368">
        <f t="shared" si="6"/>
        <v>452967.6999999999</v>
      </c>
    </row>
    <row r="39" spans="1:14" s="355" customFormat="1" ht="10.199999999999999" x14ac:dyDescent="0.2">
      <c r="A39" s="370">
        <v>7</v>
      </c>
      <c r="B39" s="369" t="s">
        <v>166</v>
      </c>
      <c r="C39" s="368">
        <f t="shared" ref="C39:N39" si="7">C40</f>
        <v>178117.6</v>
      </c>
      <c r="D39" s="368">
        <f t="shared" si="7"/>
        <v>201449.60000000001</v>
      </c>
      <c r="E39" s="368">
        <f t="shared" si="7"/>
        <v>181879.2</v>
      </c>
      <c r="F39" s="368">
        <f t="shared" si="7"/>
        <v>206251.09999999998</v>
      </c>
      <c r="G39" s="368">
        <f t="shared" si="7"/>
        <v>119380.3</v>
      </c>
      <c r="H39" s="368">
        <f t="shared" si="7"/>
        <v>178750</v>
      </c>
      <c r="I39" s="368">
        <f t="shared" si="7"/>
        <v>179747.1</v>
      </c>
      <c r="J39" s="379">
        <f t="shared" si="7"/>
        <v>-274025.3</v>
      </c>
      <c r="K39" s="379">
        <f t="shared" si="7"/>
        <v>288638.2</v>
      </c>
      <c r="L39" s="379">
        <f t="shared" si="7"/>
        <v>269507.59999999998</v>
      </c>
      <c r="M39" s="379">
        <f t="shared" si="7"/>
        <v>248484.6</v>
      </c>
      <c r="N39" s="388">
        <f t="shared" si="7"/>
        <v>-58643.4</v>
      </c>
    </row>
    <row r="40" spans="1:14" s="355" customFormat="1" ht="10.199999999999999" x14ac:dyDescent="0.2">
      <c r="A40" s="366"/>
      <c r="B40" s="365" t="s">
        <v>167</v>
      </c>
      <c r="C40" s="372">
        <v>178117.6</v>
      </c>
      <c r="D40" s="372">
        <v>201449.60000000001</v>
      </c>
      <c r="E40" s="372">
        <v>181879.2</v>
      </c>
      <c r="F40" s="372">
        <v>206251.09999999998</v>
      </c>
      <c r="G40" s="372">
        <v>119380.3</v>
      </c>
      <c r="H40" s="372">
        <v>178750</v>
      </c>
      <c r="I40" s="372">
        <v>179747.1</v>
      </c>
      <c r="J40" s="395">
        <v>-274025.3</v>
      </c>
      <c r="K40" s="395">
        <v>288638.2</v>
      </c>
      <c r="L40" s="395">
        <v>269507.59999999998</v>
      </c>
      <c r="M40" s="395">
        <v>248484.6</v>
      </c>
      <c r="N40" s="371">
        <v>-58643.4</v>
      </c>
    </row>
    <row r="41" spans="1:14" s="355" customFormat="1" ht="10.199999999999999" x14ac:dyDescent="0.2">
      <c r="A41" s="370"/>
      <c r="B41" s="369" t="s">
        <v>147</v>
      </c>
      <c r="C41" s="368">
        <f t="shared" ref="C41:N41" si="8">SUM(C42:C46)</f>
        <v>569016.29999999993</v>
      </c>
      <c r="D41" s="368">
        <f t="shared" si="8"/>
        <v>592348.29999999993</v>
      </c>
      <c r="E41" s="368">
        <f t="shared" si="8"/>
        <v>572777.89999999991</v>
      </c>
      <c r="F41" s="368">
        <f t="shared" si="8"/>
        <v>597149.79999999993</v>
      </c>
      <c r="G41" s="368">
        <f t="shared" si="8"/>
        <v>506079.1</v>
      </c>
      <c r="H41" s="368">
        <f t="shared" si="8"/>
        <v>564515.80000000005</v>
      </c>
      <c r="I41" s="368">
        <f t="shared" si="8"/>
        <v>565172.79999999993</v>
      </c>
      <c r="J41" s="368">
        <f t="shared" si="8"/>
        <v>109300.30000000003</v>
      </c>
      <c r="K41" s="368">
        <f t="shared" si="8"/>
        <v>671913.8</v>
      </c>
      <c r="L41" s="368">
        <f t="shared" si="8"/>
        <v>654863.30000000005</v>
      </c>
      <c r="M41" s="368">
        <f t="shared" si="8"/>
        <v>685142.4</v>
      </c>
      <c r="N41" s="367">
        <f t="shared" si="8"/>
        <v>394324.29999999993</v>
      </c>
    </row>
    <row r="42" spans="1:14" s="355" customFormat="1" ht="10.199999999999999" x14ac:dyDescent="0.2">
      <c r="A42" s="366"/>
      <c r="B42" s="365" t="s">
        <v>135</v>
      </c>
      <c r="C42" s="364">
        <f t="shared" ref="C42:N42" si="9">C8+C14+C20+C26+C32+C35+C40</f>
        <v>247963.5</v>
      </c>
      <c r="D42" s="364">
        <f t="shared" si="9"/>
        <v>271472.5</v>
      </c>
      <c r="E42" s="364">
        <f t="shared" si="9"/>
        <v>253962.09999999998</v>
      </c>
      <c r="F42" s="364">
        <f t="shared" si="9"/>
        <v>274904</v>
      </c>
      <c r="G42" s="364">
        <f t="shared" si="9"/>
        <v>186716.6</v>
      </c>
      <c r="H42" s="364">
        <f t="shared" si="9"/>
        <v>244227.20000000001</v>
      </c>
      <c r="I42" s="364">
        <f t="shared" si="9"/>
        <v>244962.7</v>
      </c>
      <c r="J42" s="364">
        <f t="shared" si="9"/>
        <v>-208803.5</v>
      </c>
      <c r="K42" s="364">
        <f t="shared" si="9"/>
        <v>351420.7</v>
      </c>
      <c r="L42" s="364">
        <f t="shared" si="9"/>
        <v>332939.39999999997</v>
      </c>
      <c r="M42" s="364">
        <f t="shared" si="9"/>
        <v>317028.30000000005</v>
      </c>
      <c r="N42" s="363">
        <f t="shared" si="9"/>
        <v>6669.7999999999956</v>
      </c>
    </row>
    <row r="43" spans="1:14" s="355" customFormat="1" ht="10.199999999999999" x14ac:dyDescent="0.2">
      <c r="A43" s="366"/>
      <c r="B43" s="365" t="s">
        <v>136</v>
      </c>
      <c r="C43" s="364">
        <f t="shared" ref="C43:N43" si="10">C9+C15+C21+C27+C36</f>
        <v>280143.5</v>
      </c>
      <c r="D43" s="364">
        <f t="shared" si="10"/>
        <v>279877.09999999998</v>
      </c>
      <c r="E43" s="364">
        <f t="shared" si="10"/>
        <v>277272.09999999998</v>
      </c>
      <c r="F43" s="364">
        <f t="shared" si="10"/>
        <v>280682.09999999998</v>
      </c>
      <c r="G43" s="364">
        <f t="shared" si="10"/>
        <v>291383.5</v>
      </c>
      <c r="H43" s="364">
        <f t="shared" si="10"/>
        <v>293839.40000000002</v>
      </c>
      <c r="I43" s="364">
        <f t="shared" si="10"/>
        <v>293983.7</v>
      </c>
      <c r="J43" s="364">
        <f t="shared" si="10"/>
        <v>293281.90000000002</v>
      </c>
      <c r="K43" s="364">
        <f t="shared" si="10"/>
        <v>293536.90000000002</v>
      </c>
      <c r="L43" s="364">
        <f t="shared" si="10"/>
        <v>295551.90000000002</v>
      </c>
      <c r="M43" s="364">
        <f t="shared" si="10"/>
        <v>336449.6</v>
      </c>
      <c r="N43" s="363">
        <f t="shared" si="10"/>
        <v>354888.19999999995</v>
      </c>
    </row>
    <row r="44" spans="1:14" s="355" customFormat="1" ht="10.199999999999999" x14ac:dyDescent="0.2">
      <c r="A44" s="366"/>
      <c r="B44" s="365" t="s">
        <v>154</v>
      </c>
      <c r="C44" s="364">
        <f t="shared" ref="C44:N44" si="11">C10+C16+C22+C28</f>
        <v>8419.4</v>
      </c>
      <c r="D44" s="364">
        <f t="shared" si="11"/>
        <v>8520.7999999999993</v>
      </c>
      <c r="E44" s="364">
        <f t="shared" si="11"/>
        <v>9080.7999999999993</v>
      </c>
      <c r="F44" s="364">
        <f t="shared" si="11"/>
        <v>9120.7999999999993</v>
      </c>
      <c r="G44" s="364">
        <f t="shared" si="11"/>
        <v>9057.1</v>
      </c>
      <c r="H44" s="364">
        <f t="shared" si="11"/>
        <v>8927.1</v>
      </c>
      <c r="I44" s="364">
        <f t="shared" si="11"/>
        <v>9377.1</v>
      </c>
      <c r="J44" s="364">
        <f t="shared" si="11"/>
        <v>9884.6</v>
      </c>
      <c r="K44" s="364">
        <f t="shared" si="11"/>
        <v>12044.6</v>
      </c>
      <c r="L44" s="364">
        <f t="shared" si="11"/>
        <v>11589.6</v>
      </c>
      <c r="M44" s="364">
        <f t="shared" si="11"/>
        <v>14292.6</v>
      </c>
      <c r="N44" s="363">
        <f t="shared" si="11"/>
        <v>15676</v>
      </c>
    </row>
    <row r="45" spans="1:14" s="355" customFormat="1" ht="10.199999999999999" x14ac:dyDescent="0.2">
      <c r="A45" s="366"/>
      <c r="B45" s="365" t="s">
        <v>155</v>
      </c>
      <c r="C45" s="364">
        <f t="shared" ref="C45:N45" si="12">C11+C17+C23+C29</f>
        <v>3747.7</v>
      </c>
      <c r="D45" s="364">
        <f t="shared" si="12"/>
        <v>3747.7</v>
      </c>
      <c r="E45" s="364">
        <f t="shared" si="12"/>
        <v>3732.7</v>
      </c>
      <c r="F45" s="364">
        <f t="shared" si="12"/>
        <v>3712.7</v>
      </c>
      <c r="G45" s="364">
        <f t="shared" si="12"/>
        <v>3642.7</v>
      </c>
      <c r="H45" s="364">
        <f t="shared" si="12"/>
        <v>3632.7</v>
      </c>
      <c r="I45" s="364">
        <f t="shared" si="12"/>
        <v>3642.7</v>
      </c>
      <c r="J45" s="364">
        <f t="shared" si="12"/>
        <v>3708.6</v>
      </c>
      <c r="K45" s="364">
        <f t="shared" si="12"/>
        <v>3738.6</v>
      </c>
      <c r="L45" s="364">
        <f t="shared" si="12"/>
        <v>3803.6</v>
      </c>
      <c r="M45" s="364">
        <f t="shared" si="12"/>
        <v>5309</v>
      </c>
      <c r="N45" s="363">
        <f t="shared" si="12"/>
        <v>5322.1</v>
      </c>
    </row>
    <row r="46" spans="1:14" s="355" customFormat="1" ht="10.199999999999999" x14ac:dyDescent="0.2">
      <c r="A46" s="366"/>
      <c r="B46" s="365" t="s">
        <v>156</v>
      </c>
      <c r="C46" s="364">
        <f t="shared" ref="C46:N46" si="13">C12+C18+C24+C30+C37+C33</f>
        <v>28742.199999999997</v>
      </c>
      <c r="D46" s="364">
        <f t="shared" si="13"/>
        <v>28730.199999999997</v>
      </c>
      <c r="E46" s="364">
        <f t="shared" si="13"/>
        <v>28730.199999999997</v>
      </c>
      <c r="F46" s="364">
        <f t="shared" si="13"/>
        <v>28730.199999999997</v>
      </c>
      <c r="G46" s="364">
        <f t="shared" si="13"/>
        <v>15279.200000000003</v>
      </c>
      <c r="H46" s="364">
        <f t="shared" si="13"/>
        <v>13889.400000000001</v>
      </c>
      <c r="I46" s="364">
        <f t="shared" si="13"/>
        <v>13206.6</v>
      </c>
      <c r="J46" s="364">
        <f t="shared" si="13"/>
        <v>11228.7</v>
      </c>
      <c r="K46" s="364">
        <f t="shared" si="13"/>
        <v>11173</v>
      </c>
      <c r="L46" s="364">
        <f t="shared" si="13"/>
        <v>10978.800000000001</v>
      </c>
      <c r="M46" s="364">
        <f t="shared" si="13"/>
        <v>12062.899999999998</v>
      </c>
      <c r="N46" s="363">
        <f t="shared" si="13"/>
        <v>11768.2</v>
      </c>
    </row>
    <row r="47" spans="1:14" s="355" customFormat="1" ht="21" thickBot="1" x14ac:dyDescent="0.25">
      <c r="A47" s="362"/>
      <c r="B47" s="361" t="s">
        <v>161</v>
      </c>
      <c r="C47" s="360">
        <f t="shared" ref="C47:N47" si="14">C41-C39</f>
        <v>390898.69999999995</v>
      </c>
      <c r="D47" s="360">
        <f t="shared" si="14"/>
        <v>390898.69999999995</v>
      </c>
      <c r="E47" s="360">
        <f t="shared" si="14"/>
        <v>390898.6999999999</v>
      </c>
      <c r="F47" s="359">
        <f t="shared" si="14"/>
        <v>390898.69999999995</v>
      </c>
      <c r="G47" s="359">
        <f t="shared" si="14"/>
        <v>386698.8</v>
      </c>
      <c r="H47" s="359">
        <f t="shared" si="14"/>
        <v>385765.80000000005</v>
      </c>
      <c r="I47" s="359">
        <f t="shared" si="14"/>
        <v>385425.69999999995</v>
      </c>
      <c r="J47" s="359">
        <f t="shared" si="14"/>
        <v>383325.60000000003</v>
      </c>
      <c r="K47" s="359">
        <f t="shared" si="14"/>
        <v>383275.60000000003</v>
      </c>
      <c r="L47" s="359">
        <f t="shared" si="14"/>
        <v>385355.70000000007</v>
      </c>
      <c r="M47" s="359">
        <f t="shared" si="14"/>
        <v>436657.80000000005</v>
      </c>
      <c r="N47" s="358">
        <f t="shared" si="14"/>
        <v>452967.69999999995</v>
      </c>
    </row>
    <row r="48" spans="1:14" s="355" customFormat="1" ht="10.8" thickTop="1" x14ac:dyDescent="0.2">
      <c r="A48" s="357" t="s">
        <v>162</v>
      </c>
      <c r="B48" s="356"/>
    </row>
    <row r="49" spans="1:2" s="355" customFormat="1" ht="10.199999999999999" x14ac:dyDescent="0.2">
      <c r="A49" s="357" t="s">
        <v>163</v>
      </c>
      <c r="B49" s="356"/>
    </row>
    <row r="50" spans="1:2" s="355" customFormat="1" ht="10.199999999999999" x14ac:dyDescent="0.2"/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zoomScale="120" zoomScaleNormal="120" workbookViewId="0">
      <selection activeCell="A4" sqref="A4:N4"/>
    </sheetView>
  </sheetViews>
  <sheetFormatPr defaultRowHeight="13.2" x14ac:dyDescent="0.25"/>
  <cols>
    <col min="1" max="1" width="6.33203125" style="354" customWidth="1"/>
    <col min="2" max="2" width="25" style="354" customWidth="1"/>
    <col min="3" max="11" width="10.33203125" style="354" customWidth="1"/>
    <col min="12" max="12" width="10.33203125" style="399" customWidth="1"/>
    <col min="1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176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175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f t="shared" ref="C7:N7" si="0">SUM(C8:C12)</f>
        <v>146792.9</v>
      </c>
      <c r="D7" s="368">
        <f t="shared" si="0"/>
        <v>146792.9</v>
      </c>
      <c r="E7" s="368">
        <f t="shared" si="0"/>
        <v>146793</v>
      </c>
      <c r="F7" s="389">
        <f t="shared" si="0"/>
        <v>146792.9</v>
      </c>
      <c r="G7" s="389">
        <f t="shared" si="0"/>
        <v>146792.9</v>
      </c>
      <c r="H7" s="389">
        <f t="shared" si="0"/>
        <v>146792.9</v>
      </c>
      <c r="I7" s="389">
        <f t="shared" si="0"/>
        <v>146792.9</v>
      </c>
      <c r="J7" s="389">
        <f t="shared" si="0"/>
        <v>136267.9</v>
      </c>
      <c r="K7" s="389">
        <f t="shared" si="0"/>
        <v>147218.1</v>
      </c>
      <c r="L7" s="389">
        <f t="shared" si="0"/>
        <v>157218.1</v>
      </c>
      <c r="M7" s="389">
        <f t="shared" si="0"/>
        <v>197218.1</v>
      </c>
      <c r="N7" s="388">
        <f t="shared" si="0"/>
        <v>215218.1</v>
      </c>
    </row>
    <row r="8" spans="1:14" s="355" customFormat="1" ht="10.199999999999999" x14ac:dyDescent="0.2">
      <c r="A8" s="366"/>
      <c r="B8" s="365" t="s">
        <v>135</v>
      </c>
      <c r="C8" s="364">
        <v>18473.099999999999</v>
      </c>
      <c r="D8" s="364">
        <v>17289.900000000001</v>
      </c>
      <c r="E8" s="364">
        <v>17289.900000000001</v>
      </c>
      <c r="F8" s="364">
        <v>16669.900000000001</v>
      </c>
      <c r="G8" s="364">
        <v>16669.900000000001</v>
      </c>
      <c r="H8" s="364">
        <v>16334.9</v>
      </c>
      <c r="I8" s="364">
        <v>16334.9</v>
      </c>
      <c r="J8" s="364">
        <v>16334.9</v>
      </c>
      <c r="K8" s="364">
        <v>16019.9</v>
      </c>
      <c r="L8" s="396">
        <v>29319.9</v>
      </c>
      <c r="M8" s="364">
        <v>29319.9</v>
      </c>
      <c r="N8" s="363">
        <v>21319.9</v>
      </c>
    </row>
    <row r="9" spans="1:14" s="355" customFormat="1" ht="10.199999999999999" x14ac:dyDescent="0.2">
      <c r="A9" s="366"/>
      <c r="B9" s="365" t="s">
        <v>136</v>
      </c>
      <c r="C9" s="364">
        <v>124639.8</v>
      </c>
      <c r="D9" s="364">
        <v>125908</v>
      </c>
      <c r="E9" s="364">
        <v>126653</v>
      </c>
      <c r="F9" s="364">
        <v>127553</v>
      </c>
      <c r="G9" s="364">
        <v>127603</v>
      </c>
      <c r="H9" s="364">
        <v>128363</v>
      </c>
      <c r="I9" s="364">
        <v>128413</v>
      </c>
      <c r="J9" s="364">
        <v>117668</v>
      </c>
      <c r="K9" s="364">
        <v>129158.2</v>
      </c>
      <c r="L9" s="396">
        <v>123753.2</v>
      </c>
      <c r="M9" s="364">
        <v>157996.9</v>
      </c>
      <c r="N9" s="363">
        <v>183326.9</v>
      </c>
    </row>
    <row r="10" spans="1:14" s="355" customFormat="1" ht="10.199999999999999" x14ac:dyDescent="0.2">
      <c r="A10" s="366"/>
      <c r="B10" s="365" t="s">
        <v>154</v>
      </c>
      <c r="C10" s="364">
        <v>3349</v>
      </c>
      <c r="D10" s="364">
        <v>3134</v>
      </c>
      <c r="E10" s="364">
        <v>2389</v>
      </c>
      <c r="F10" s="364">
        <v>1980</v>
      </c>
      <c r="G10" s="364">
        <v>2010</v>
      </c>
      <c r="H10" s="364">
        <v>1645</v>
      </c>
      <c r="I10" s="364">
        <v>1595</v>
      </c>
      <c r="J10" s="364">
        <v>1845</v>
      </c>
      <c r="K10" s="364">
        <v>1480</v>
      </c>
      <c r="L10" s="396">
        <v>3480</v>
      </c>
      <c r="M10" s="364">
        <v>8982.1</v>
      </c>
      <c r="N10" s="363">
        <v>9572.1</v>
      </c>
    </row>
    <row r="11" spans="1:14" s="355" customFormat="1" ht="10.199999999999999" x14ac:dyDescent="0.2">
      <c r="A11" s="366"/>
      <c r="B11" s="365" t="s">
        <v>155</v>
      </c>
      <c r="C11" s="364">
        <v>211</v>
      </c>
      <c r="D11" s="364">
        <v>311</v>
      </c>
      <c r="E11" s="364">
        <v>311.10000000000002</v>
      </c>
      <c r="F11" s="364">
        <v>290</v>
      </c>
      <c r="G11" s="364">
        <v>290</v>
      </c>
      <c r="H11" s="364">
        <v>230</v>
      </c>
      <c r="I11" s="364">
        <v>230</v>
      </c>
      <c r="J11" s="364">
        <v>250</v>
      </c>
      <c r="K11" s="364">
        <v>390</v>
      </c>
      <c r="L11" s="396">
        <v>445</v>
      </c>
      <c r="M11" s="364">
        <v>719.2</v>
      </c>
      <c r="N11" s="363">
        <v>719.2</v>
      </c>
    </row>
    <row r="12" spans="1:14" s="355" customFormat="1" ht="10.199999999999999" x14ac:dyDescent="0.2">
      <c r="A12" s="366"/>
      <c r="B12" s="365" t="s">
        <v>156</v>
      </c>
      <c r="C12" s="364">
        <v>120</v>
      </c>
      <c r="D12" s="364">
        <v>150</v>
      </c>
      <c r="E12" s="364">
        <v>150</v>
      </c>
      <c r="F12" s="364">
        <v>300</v>
      </c>
      <c r="G12" s="364">
        <v>220</v>
      </c>
      <c r="H12" s="364">
        <v>220</v>
      </c>
      <c r="I12" s="364">
        <v>220</v>
      </c>
      <c r="J12" s="364">
        <v>170</v>
      </c>
      <c r="K12" s="364">
        <v>170</v>
      </c>
      <c r="L12" s="396">
        <v>220</v>
      </c>
      <c r="M12" s="364">
        <v>200</v>
      </c>
      <c r="N12" s="363">
        <v>280</v>
      </c>
    </row>
    <row r="13" spans="1:14" s="355" customFormat="1" ht="10.199999999999999" x14ac:dyDescent="0.2">
      <c r="A13" s="370">
        <v>2</v>
      </c>
      <c r="B13" s="369" t="s">
        <v>112</v>
      </c>
      <c r="C13" s="368">
        <f t="shared" ref="C13:N13" si="1">SUM(C14:C18)</f>
        <v>297346.99999999994</v>
      </c>
      <c r="D13" s="368">
        <f t="shared" si="1"/>
        <v>297346.99999999994</v>
      </c>
      <c r="E13" s="368">
        <f t="shared" si="1"/>
        <v>297346.99999999994</v>
      </c>
      <c r="F13" s="368">
        <f t="shared" si="1"/>
        <v>296447.09999999998</v>
      </c>
      <c r="G13" s="368">
        <f t="shared" si="1"/>
        <v>296447.09999999998</v>
      </c>
      <c r="H13" s="368">
        <f t="shared" si="1"/>
        <v>294947.10000000003</v>
      </c>
      <c r="I13" s="368">
        <f t="shared" si="1"/>
        <v>294947.10000000003</v>
      </c>
      <c r="J13" s="368">
        <f t="shared" si="1"/>
        <v>294947.10000000003</v>
      </c>
      <c r="K13" s="368">
        <f t="shared" si="1"/>
        <v>324947.10000000003</v>
      </c>
      <c r="L13" s="389">
        <f t="shared" si="1"/>
        <v>394947.10000000003</v>
      </c>
      <c r="M13" s="368">
        <f t="shared" si="1"/>
        <v>389947.10000000003</v>
      </c>
      <c r="N13" s="367">
        <f t="shared" si="1"/>
        <v>389947</v>
      </c>
    </row>
    <row r="14" spans="1:14" s="355" customFormat="1" ht="10.199999999999999" x14ac:dyDescent="0.2">
      <c r="A14" s="366"/>
      <c r="B14" s="365" t="s">
        <v>135</v>
      </c>
      <c r="C14" s="364">
        <v>44032.5</v>
      </c>
      <c r="D14" s="364">
        <v>44032.5</v>
      </c>
      <c r="E14" s="364">
        <v>44032.5</v>
      </c>
      <c r="F14" s="364">
        <v>44032.5</v>
      </c>
      <c r="G14" s="364">
        <v>44032.5</v>
      </c>
      <c r="H14" s="364">
        <v>44032.5</v>
      </c>
      <c r="I14" s="364">
        <v>44032.5</v>
      </c>
      <c r="J14" s="364">
        <v>44032.5</v>
      </c>
      <c r="K14" s="364">
        <v>44032.5</v>
      </c>
      <c r="L14" s="396">
        <v>44032.5</v>
      </c>
      <c r="M14" s="364">
        <v>43556.5</v>
      </c>
      <c r="N14" s="363">
        <v>43556.5</v>
      </c>
    </row>
    <row r="15" spans="1:14" s="355" customFormat="1" ht="10.199999999999999" x14ac:dyDescent="0.2">
      <c r="A15" s="366"/>
      <c r="B15" s="365" t="s">
        <v>136</v>
      </c>
      <c r="C15" s="364">
        <v>229793.3</v>
      </c>
      <c r="D15" s="364">
        <v>229793.3</v>
      </c>
      <c r="E15" s="364">
        <v>229793.3</v>
      </c>
      <c r="F15" s="364">
        <v>229099.2</v>
      </c>
      <c r="G15" s="364">
        <v>229099.2</v>
      </c>
      <c r="H15" s="364">
        <v>228490.2</v>
      </c>
      <c r="I15" s="364">
        <v>228490.2</v>
      </c>
      <c r="J15" s="364">
        <v>228490.2</v>
      </c>
      <c r="K15" s="364">
        <v>252690.2</v>
      </c>
      <c r="L15" s="396">
        <v>311982.7</v>
      </c>
      <c r="M15" s="364">
        <v>308055.40000000002</v>
      </c>
      <c r="N15" s="363">
        <v>308055.3</v>
      </c>
    </row>
    <row r="16" spans="1:14" s="355" customFormat="1" ht="10.199999999999999" x14ac:dyDescent="0.2">
      <c r="A16" s="366"/>
      <c r="B16" s="365" t="s">
        <v>154</v>
      </c>
      <c r="C16" s="364">
        <v>12715.1</v>
      </c>
      <c r="D16" s="364">
        <v>12715.1</v>
      </c>
      <c r="E16" s="364">
        <v>12715.1</v>
      </c>
      <c r="F16" s="364">
        <v>12715.1</v>
      </c>
      <c r="G16" s="364">
        <v>12715.1</v>
      </c>
      <c r="H16" s="364">
        <v>12713.4</v>
      </c>
      <c r="I16" s="364">
        <v>12713.4</v>
      </c>
      <c r="J16" s="364">
        <v>12713.4</v>
      </c>
      <c r="K16" s="364">
        <v>15673.4</v>
      </c>
      <c r="L16" s="396">
        <v>22210.9</v>
      </c>
      <c r="M16" s="364">
        <v>21815.599999999999</v>
      </c>
      <c r="N16" s="363">
        <v>21815.599999999999</v>
      </c>
    </row>
    <row r="17" spans="1:14" s="355" customFormat="1" ht="10.199999999999999" x14ac:dyDescent="0.2">
      <c r="A17" s="366"/>
      <c r="B17" s="365" t="s">
        <v>155</v>
      </c>
      <c r="C17" s="364">
        <v>5060</v>
      </c>
      <c r="D17" s="364">
        <v>5060</v>
      </c>
      <c r="E17" s="364">
        <v>5060</v>
      </c>
      <c r="F17" s="364">
        <v>5052.2</v>
      </c>
      <c r="G17" s="364">
        <v>5052.2</v>
      </c>
      <c r="H17" s="364">
        <v>5013.7</v>
      </c>
      <c r="I17" s="364">
        <v>5013.7</v>
      </c>
      <c r="J17" s="364">
        <v>5013.7</v>
      </c>
      <c r="K17" s="364">
        <v>7853.7</v>
      </c>
      <c r="L17" s="396">
        <v>12023.7</v>
      </c>
      <c r="M17" s="364">
        <v>11904.4</v>
      </c>
      <c r="N17" s="363">
        <v>11904.4</v>
      </c>
    </row>
    <row r="18" spans="1:14" s="355" customFormat="1" ht="10.199999999999999" x14ac:dyDescent="0.2">
      <c r="A18" s="366"/>
      <c r="B18" s="365" t="s">
        <v>140</v>
      </c>
      <c r="C18" s="364">
        <v>5746.1</v>
      </c>
      <c r="D18" s="364">
        <v>5746.1</v>
      </c>
      <c r="E18" s="364">
        <v>5746.1</v>
      </c>
      <c r="F18" s="364">
        <v>5548.1</v>
      </c>
      <c r="G18" s="364">
        <v>5548.1</v>
      </c>
      <c r="H18" s="364">
        <v>4697.3</v>
      </c>
      <c r="I18" s="364">
        <v>4697.3</v>
      </c>
      <c r="J18" s="364">
        <v>4697.3</v>
      </c>
      <c r="K18" s="364">
        <v>4697.3</v>
      </c>
      <c r="L18" s="396">
        <v>4697.3</v>
      </c>
      <c r="M18" s="364">
        <v>4615.2</v>
      </c>
      <c r="N18" s="363">
        <v>4615.2</v>
      </c>
    </row>
    <row r="19" spans="1:14" s="355" customFormat="1" ht="10.199999999999999" x14ac:dyDescent="0.2">
      <c r="A19" s="370">
        <v>3</v>
      </c>
      <c r="B19" s="369" t="s">
        <v>113</v>
      </c>
      <c r="C19" s="368">
        <f t="shared" ref="C19:N19" si="2">SUM(C20:C24)</f>
        <v>0</v>
      </c>
      <c r="D19" s="368">
        <f t="shared" si="2"/>
        <v>0</v>
      </c>
      <c r="E19" s="368">
        <f t="shared" si="2"/>
        <v>0</v>
      </c>
      <c r="F19" s="368">
        <f t="shared" si="2"/>
        <v>0</v>
      </c>
      <c r="G19" s="368">
        <f t="shared" si="2"/>
        <v>0</v>
      </c>
      <c r="H19" s="368">
        <f t="shared" si="2"/>
        <v>0</v>
      </c>
      <c r="I19" s="368">
        <f t="shared" si="2"/>
        <v>0</v>
      </c>
      <c r="J19" s="368">
        <f t="shared" si="2"/>
        <v>0</v>
      </c>
      <c r="K19" s="368">
        <f t="shared" si="2"/>
        <v>0</v>
      </c>
      <c r="L19" s="389">
        <f t="shared" si="2"/>
        <v>0</v>
      </c>
      <c r="M19" s="368">
        <f t="shared" si="2"/>
        <v>0</v>
      </c>
      <c r="N19" s="367">
        <f t="shared" si="2"/>
        <v>0</v>
      </c>
    </row>
    <row r="20" spans="1:14" s="355" customFormat="1" ht="10.199999999999999" x14ac:dyDescent="0.2">
      <c r="A20" s="366"/>
      <c r="B20" s="365" t="s">
        <v>135</v>
      </c>
      <c r="C20" s="364">
        <v>0</v>
      </c>
      <c r="D20" s="364">
        <v>0</v>
      </c>
      <c r="E20" s="364">
        <v>0</v>
      </c>
      <c r="F20" s="364">
        <v>0</v>
      </c>
      <c r="G20" s="364">
        <v>0</v>
      </c>
      <c r="H20" s="364">
        <v>0</v>
      </c>
      <c r="I20" s="364">
        <v>0</v>
      </c>
      <c r="J20" s="364">
        <v>0</v>
      </c>
      <c r="K20" s="364">
        <v>0</v>
      </c>
      <c r="L20" s="396">
        <v>0</v>
      </c>
      <c r="M20" s="364">
        <v>0</v>
      </c>
      <c r="N20" s="363">
        <v>0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64">
        <v>0</v>
      </c>
      <c r="K21" s="364">
        <v>0</v>
      </c>
      <c r="L21" s="396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64">
        <v>0</v>
      </c>
      <c r="K22" s="364">
        <v>0</v>
      </c>
      <c r="L22" s="396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64">
        <v>0</v>
      </c>
      <c r="K23" s="364">
        <v>0</v>
      </c>
      <c r="L23" s="396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0</v>
      </c>
      <c r="D24" s="364">
        <v>0</v>
      </c>
      <c r="E24" s="364">
        <v>0</v>
      </c>
      <c r="F24" s="364">
        <v>0</v>
      </c>
      <c r="G24" s="364">
        <v>0</v>
      </c>
      <c r="H24" s="364">
        <v>0</v>
      </c>
      <c r="I24" s="364">
        <v>0</v>
      </c>
      <c r="J24" s="364">
        <v>0</v>
      </c>
      <c r="K24" s="364">
        <v>0</v>
      </c>
      <c r="L24" s="396">
        <v>0</v>
      </c>
      <c r="M24" s="364">
        <v>0</v>
      </c>
      <c r="N24" s="363">
        <v>0</v>
      </c>
    </row>
    <row r="25" spans="1:14" s="355" customFormat="1" ht="10.199999999999999" x14ac:dyDescent="0.2">
      <c r="A25" s="370">
        <v>4</v>
      </c>
      <c r="B25" s="369" t="s">
        <v>114</v>
      </c>
      <c r="C25" s="368">
        <f t="shared" ref="C25:N25" si="3">SUM(C26:C30)</f>
        <v>8376.2000000000007</v>
      </c>
      <c r="D25" s="368">
        <f t="shared" si="3"/>
        <v>8376.2000000000007</v>
      </c>
      <c r="E25" s="368">
        <f t="shared" si="3"/>
        <v>8376.2000000000007</v>
      </c>
      <c r="F25" s="368">
        <f t="shared" si="3"/>
        <v>8376.2000000000007</v>
      </c>
      <c r="G25" s="368">
        <f t="shared" si="3"/>
        <v>8376.2000000000007</v>
      </c>
      <c r="H25" s="368">
        <f t="shared" si="3"/>
        <v>8376.2000000000007</v>
      </c>
      <c r="I25" s="368">
        <f t="shared" si="3"/>
        <v>8376.2000000000007</v>
      </c>
      <c r="J25" s="389">
        <f t="shared" si="3"/>
        <v>8376.2000000000007</v>
      </c>
      <c r="K25" s="368">
        <f t="shared" si="3"/>
        <v>8376.2000000000007</v>
      </c>
      <c r="L25" s="389">
        <f t="shared" si="3"/>
        <v>8376.2000000000007</v>
      </c>
      <c r="M25" s="368">
        <f t="shared" si="3"/>
        <v>8376.2000000000007</v>
      </c>
      <c r="N25" s="367">
        <f t="shared" si="3"/>
        <v>7641.9499999999989</v>
      </c>
    </row>
    <row r="26" spans="1:14" s="355" customFormat="1" ht="10.199999999999999" x14ac:dyDescent="0.2">
      <c r="A26" s="366"/>
      <c r="B26" s="365" t="s">
        <v>141</v>
      </c>
      <c r="C26" s="364">
        <v>2796.1</v>
      </c>
      <c r="D26" s="364">
        <v>2798.9</v>
      </c>
      <c r="E26" s="364">
        <v>2803.7</v>
      </c>
      <c r="F26" s="364">
        <v>2805.7</v>
      </c>
      <c r="G26" s="364">
        <v>2806.1</v>
      </c>
      <c r="H26" s="364">
        <v>2807.1</v>
      </c>
      <c r="I26" s="364">
        <v>2808.1</v>
      </c>
      <c r="J26" s="396">
        <v>2818.8</v>
      </c>
      <c r="K26" s="364">
        <v>2821.3</v>
      </c>
      <c r="L26" s="396">
        <v>2821.3</v>
      </c>
      <c r="M26" s="364">
        <v>2839.5</v>
      </c>
      <c r="N26" s="363">
        <v>1945.6</v>
      </c>
    </row>
    <row r="27" spans="1:14" s="355" customFormat="1" ht="10.199999999999999" x14ac:dyDescent="0.2">
      <c r="A27" s="366"/>
      <c r="B27" s="365" t="s">
        <v>136</v>
      </c>
      <c r="C27" s="364">
        <v>0</v>
      </c>
      <c r="D27" s="364">
        <v>0</v>
      </c>
      <c r="E27" s="364">
        <v>0</v>
      </c>
      <c r="F27" s="364">
        <v>0</v>
      </c>
      <c r="G27" s="364">
        <v>0</v>
      </c>
      <c r="H27" s="364">
        <v>0</v>
      </c>
      <c r="I27" s="364">
        <v>0</v>
      </c>
      <c r="J27" s="396">
        <v>0</v>
      </c>
      <c r="K27" s="364">
        <v>0</v>
      </c>
      <c r="L27" s="396">
        <v>0</v>
      </c>
      <c r="M27" s="364">
        <v>0</v>
      </c>
      <c r="N27" s="363">
        <v>0</v>
      </c>
    </row>
    <row r="28" spans="1:14" s="355" customFormat="1" ht="10.199999999999999" x14ac:dyDescent="0.2">
      <c r="A28" s="366"/>
      <c r="B28" s="365" t="s">
        <v>154</v>
      </c>
      <c r="C28" s="364">
        <v>0</v>
      </c>
      <c r="D28" s="364">
        <v>0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  <c r="J28" s="396">
        <v>0</v>
      </c>
      <c r="K28" s="364">
        <v>0</v>
      </c>
      <c r="L28" s="396">
        <v>0</v>
      </c>
      <c r="M28" s="364">
        <v>0</v>
      </c>
      <c r="N28" s="363">
        <v>0</v>
      </c>
    </row>
    <row r="29" spans="1:14" s="355" customFormat="1" ht="10.199999999999999" x14ac:dyDescent="0.2">
      <c r="A29" s="366"/>
      <c r="B29" s="365" t="s">
        <v>155</v>
      </c>
      <c r="C29" s="364">
        <v>0</v>
      </c>
      <c r="D29" s="364">
        <v>0</v>
      </c>
      <c r="E29" s="364">
        <v>0</v>
      </c>
      <c r="F29" s="364">
        <v>0</v>
      </c>
      <c r="G29" s="364">
        <v>0</v>
      </c>
      <c r="H29" s="364">
        <v>0</v>
      </c>
      <c r="I29" s="364">
        <v>0</v>
      </c>
      <c r="J29" s="396">
        <v>0</v>
      </c>
      <c r="K29" s="364">
        <v>0</v>
      </c>
      <c r="L29" s="396">
        <v>0</v>
      </c>
      <c r="M29" s="364">
        <v>0</v>
      </c>
      <c r="N29" s="363">
        <v>0</v>
      </c>
    </row>
    <row r="30" spans="1:14" s="355" customFormat="1" ht="10.199999999999999" x14ac:dyDescent="0.2">
      <c r="A30" s="366"/>
      <c r="B30" s="365" t="s">
        <v>156</v>
      </c>
      <c r="C30" s="364">
        <v>5580.1</v>
      </c>
      <c r="D30" s="364">
        <v>5577.3</v>
      </c>
      <c r="E30" s="364">
        <v>5572.5</v>
      </c>
      <c r="F30" s="364">
        <v>5570.5</v>
      </c>
      <c r="G30" s="364">
        <v>5570.1</v>
      </c>
      <c r="H30" s="364">
        <v>5569.1</v>
      </c>
      <c r="I30" s="364">
        <v>5568.1</v>
      </c>
      <c r="J30" s="396">
        <v>5557.4</v>
      </c>
      <c r="K30" s="364">
        <v>5554.9</v>
      </c>
      <c r="L30" s="396">
        <v>5554.9</v>
      </c>
      <c r="M30" s="364">
        <v>5536.7000000000007</v>
      </c>
      <c r="N30" s="363">
        <v>5696.3499999999995</v>
      </c>
    </row>
    <row r="31" spans="1:14" s="355" customFormat="1" ht="10.199999999999999" x14ac:dyDescent="0.2">
      <c r="A31" s="370">
        <v>5</v>
      </c>
      <c r="B31" s="369" t="s">
        <v>157</v>
      </c>
      <c r="C31" s="386">
        <f t="shared" ref="C31:N31" si="4">SUM(C32:C33)</f>
        <v>451.49999999999994</v>
      </c>
      <c r="D31" s="386">
        <f t="shared" si="4"/>
        <v>451.49999999999994</v>
      </c>
      <c r="E31" s="386">
        <f t="shared" si="4"/>
        <v>451.49999999999994</v>
      </c>
      <c r="F31" s="386">
        <f t="shared" si="4"/>
        <v>451.49999999999994</v>
      </c>
      <c r="G31" s="386">
        <f t="shared" si="4"/>
        <v>451.49999999999994</v>
      </c>
      <c r="H31" s="386">
        <f t="shared" si="4"/>
        <v>453.46499999999997</v>
      </c>
      <c r="I31" s="386">
        <f t="shared" si="4"/>
        <v>455.7</v>
      </c>
      <c r="J31" s="386">
        <f t="shared" si="4"/>
        <v>455.7</v>
      </c>
      <c r="K31" s="386">
        <f t="shared" si="4"/>
        <v>455.7</v>
      </c>
      <c r="L31" s="386">
        <f t="shared" si="4"/>
        <v>455.7</v>
      </c>
      <c r="M31" s="386">
        <f t="shared" si="4"/>
        <v>457.40000000000003</v>
      </c>
      <c r="N31" s="385">
        <f t="shared" si="4"/>
        <v>404.95</v>
      </c>
    </row>
    <row r="32" spans="1:14" s="355" customFormat="1" ht="10.199999999999999" x14ac:dyDescent="0.2">
      <c r="A32" s="366"/>
      <c r="B32" s="365" t="s">
        <v>135</v>
      </c>
      <c r="C32" s="383">
        <v>12.7</v>
      </c>
      <c r="D32" s="383">
        <v>12.7</v>
      </c>
      <c r="E32" s="383">
        <v>12.7</v>
      </c>
      <c r="F32" s="383">
        <v>12.7</v>
      </c>
      <c r="G32" s="383">
        <v>12.7</v>
      </c>
      <c r="H32" s="383">
        <v>12.734999999999999</v>
      </c>
      <c r="I32" s="383">
        <v>12.7</v>
      </c>
      <c r="J32" s="397">
        <v>12.7</v>
      </c>
      <c r="K32" s="397">
        <v>12.7</v>
      </c>
      <c r="L32" s="397">
        <v>12.7</v>
      </c>
      <c r="M32" s="383">
        <v>12.7</v>
      </c>
      <c r="N32" s="382">
        <v>10.7</v>
      </c>
    </row>
    <row r="33" spans="1:14" s="355" customFormat="1" ht="10.199999999999999" x14ac:dyDescent="0.2">
      <c r="A33" s="366"/>
      <c r="B33" s="365" t="s">
        <v>158</v>
      </c>
      <c r="C33" s="364">
        <v>438.79999999999995</v>
      </c>
      <c r="D33" s="364">
        <v>438.79999999999995</v>
      </c>
      <c r="E33" s="364">
        <v>438.79999999999995</v>
      </c>
      <c r="F33" s="364">
        <v>438.79999999999995</v>
      </c>
      <c r="G33" s="364">
        <v>438.79999999999995</v>
      </c>
      <c r="H33" s="364">
        <v>440.72999999999996</v>
      </c>
      <c r="I33" s="364">
        <v>443</v>
      </c>
      <c r="J33" s="396">
        <v>443</v>
      </c>
      <c r="K33" s="396">
        <v>443</v>
      </c>
      <c r="L33" s="396">
        <v>443</v>
      </c>
      <c r="M33" s="364">
        <v>444.70000000000005</v>
      </c>
      <c r="N33" s="363">
        <v>394.25</v>
      </c>
    </row>
    <row r="34" spans="1:14" s="373" customFormat="1" ht="10.199999999999999" hidden="1" x14ac:dyDescent="0.2">
      <c r="A34" s="381">
        <v>6</v>
      </c>
      <c r="B34" s="380" t="s">
        <v>115</v>
      </c>
      <c r="C34" s="379">
        <f t="shared" ref="C34:K34" si="5">SUM(C35:C37)</f>
        <v>0</v>
      </c>
      <c r="D34" s="379">
        <f t="shared" si="5"/>
        <v>0</v>
      </c>
      <c r="E34" s="379">
        <f t="shared" si="5"/>
        <v>0</v>
      </c>
      <c r="F34" s="379">
        <f t="shared" si="5"/>
        <v>0</v>
      </c>
      <c r="G34" s="379">
        <f t="shared" si="5"/>
        <v>0</v>
      </c>
      <c r="H34" s="379">
        <f t="shared" si="5"/>
        <v>0</v>
      </c>
      <c r="I34" s="379">
        <f t="shared" si="5"/>
        <v>0</v>
      </c>
      <c r="J34" s="379">
        <f t="shared" si="5"/>
        <v>0</v>
      </c>
      <c r="K34" s="379">
        <f t="shared" si="5"/>
        <v>0</v>
      </c>
      <c r="L34" s="389">
        <v>0</v>
      </c>
      <c r="M34" s="379">
        <v>0</v>
      </c>
      <c r="N34" s="378"/>
    </row>
    <row r="35" spans="1:14" s="373" customFormat="1" ht="10.199999999999999" hidden="1" x14ac:dyDescent="0.2">
      <c r="A35" s="377"/>
      <c r="B35" s="376" t="s">
        <v>135</v>
      </c>
      <c r="C35" s="375">
        <v>0</v>
      </c>
      <c r="D35" s="375">
        <v>0</v>
      </c>
      <c r="E35" s="375">
        <v>0</v>
      </c>
      <c r="F35" s="375">
        <v>0</v>
      </c>
      <c r="G35" s="375">
        <v>0</v>
      </c>
      <c r="H35" s="375">
        <v>0</v>
      </c>
      <c r="I35" s="375">
        <v>0</v>
      </c>
      <c r="J35" s="375">
        <v>0</v>
      </c>
      <c r="K35" s="375">
        <v>0</v>
      </c>
      <c r="L35" s="396">
        <v>0</v>
      </c>
      <c r="M35" s="375">
        <v>0</v>
      </c>
      <c r="N35" s="398">
        <v>0</v>
      </c>
    </row>
    <row r="36" spans="1:14" s="373" customFormat="1" ht="10.199999999999999" hidden="1" x14ac:dyDescent="0.2">
      <c r="A36" s="377"/>
      <c r="B36" s="376" t="s">
        <v>159</v>
      </c>
      <c r="C36" s="375">
        <v>0</v>
      </c>
      <c r="D36" s="375">
        <v>0</v>
      </c>
      <c r="E36" s="375">
        <v>0</v>
      </c>
      <c r="F36" s="375">
        <v>0</v>
      </c>
      <c r="G36" s="375">
        <v>0</v>
      </c>
      <c r="H36" s="375">
        <v>0</v>
      </c>
      <c r="I36" s="375">
        <v>0</v>
      </c>
      <c r="J36" s="375">
        <v>0</v>
      </c>
      <c r="K36" s="375">
        <v>0</v>
      </c>
      <c r="L36" s="396">
        <v>0</v>
      </c>
      <c r="M36" s="375">
        <v>0</v>
      </c>
      <c r="N36" s="398">
        <v>0</v>
      </c>
    </row>
    <row r="37" spans="1:14" s="373" customFormat="1" ht="10.199999999999999" hidden="1" x14ac:dyDescent="0.2">
      <c r="A37" s="377"/>
      <c r="B37" s="376" t="s">
        <v>140</v>
      </c>
      <c r="C37" s="375">
        <v>0</v>
      </c>
      <c r="D37" s="375">
        <v>0</v>
      </c>
      <c r="E37" s="375">
        <v>0</v>
      </c>
      <c r="F37" s="375">
        <v>0</v>
      </c>
      <c r="G37" s="375">
        <v>0</v>
      </c>
      <c r="H37" s="375">
        <v>0</v>
      </c>
      <c r="I37" s="375">
        <v>0</v>
      </c>
      <c r="J37" s="375">
        <v>0</v>
      </c>
      <c r="K37" s="375">
        <v>0</v>
      </c>
      <c r="L37" s="396">
        <v>0</v>
      </c>
      <c r="M37" s="375">
        <v>0</v>
      </c>
      <c r="N37" s="398">
        <v>0</v>
      </c>
    </row>
    <row r="38" spans="1:14" s="355" customFormat="1" ht="10.199999999999999" x14ac:dyDescent="0.2">
      <c r="A38" s="370"/>
      <c r="B38" s="369" t="s">
        <v>147</v>
      </c>
      <c r="C38" s="368">
        <f t="shared" ref="C38:N38" si="6">+C7+C13+C19+C25+C31</f>
        <v>452967.59999999992</v>
      </c>
      <c r="D38" s="368">
        <f t="shared" si="6"/>
        <v>452967.59999999992</v>
      </c>
      <c r="E38" s="368">
        <f t="shared" si="6"/>
        <v>452967.69999999995</v>
      </c>
      <c r="F38" s="368">
        <f t="shared" si="6"/>
        <v>452067.7</v>
      </c>
      <c r="G38" s="368">
        <f t="shared" si="6"/>
        <v>452067.7</v>
      </c>
      <c r="H38" s="368">
        <f t="shared" si="6"/>
        <v>450569.66500000004</v>
      </c>
      <c r="I38" s="368">
        <f t="shared" si="6"/>
        <v>450571.9</v>
      </c>
      <c r="J38" s="368">
        <f t="shared" si="6"/>
        <v>440046.9</v>
      </c>
      <c r="K38" s="368">
        <f t="shared" si="6"/>
        <v>480997.10000000009</v>
      </c>
      <c r="L38" s="368">
        <f t="shared" si="6"/>
        <v>560997.1</v>
      </c>
      <c r="M38" s="368">
        <f t="shared" si="6"/>
        <v>595998.80000000005</v>
      </c>
      <c r="N38" s="368">
        <f t="shared" si="6"/>
        <v>613211.99999999988</v>
      </c>
    </row>
    <row r="39" spans="1:14" s="355" customFormat="1" ht="10.199999999999999" x14ac:dyDescent="0.2">
      <c r="A39" s="370">
        <v>7</v>
      </c>
      <c r="B39" s="369" t="s">
        <v>166</v>
      </c>
      <c r="C39" s="379">
        <f t="shared" ref="C39:N39" si="7">C40</f>
        <v>137536.1</v>
      </c>
      <c r="D39" s="379">
        <f t="shared" si="7"/>
        <v>201449.60000000001</v>
      </c>
      <c r="E39" s="379">
        <f t="shared" si="7"/>
        <v>181879.2</v>
      </c>
      <c r="F39" s="379">
        <f t="shared" si="7"/>
        <v>206251.09999999998</v>
      </c>
      <c r="G39" s="379">
        <f t="shared" si="7"/>
        <v>119380.3</v>
      </c>
      <c r="H39" s="379">
        <f t="shared" si="7"/>
        <v>178750</v>
      </c>
      <c r="I39" s="379">
        <f t="shared" si="7"/>
        <v>179747.1</v>
      </c>
      <c r="J39" s="379">
        <f t="shared" si="7"/>
        <v>-274025.3</v>
      </c>
      <c r="K39" s="379">
        <f t="shared" si="7"/>
        <v>288638.2</v>
      </c>
      <c r="L39" s="379">
        <f t="shared" si="7"/>
        <v>269507.59999999998</v>
      </c>
      <c r="M39" s="379">
        <f t="shared" si="7"/>
        <v>248484.6</v>
      </c>
      <c r="N39" s="378">
        <f t="shared" si="7"/>
        <v>-58643.4</v>
      </c>
    </row>
    <row r="40" spans="1:14" s="355" customFormat="1" ht="10.199999999999999" x14ac:dyDescent="0.2">
      <c r="A40" s="366"/>
      <c r="B40" s="365" t="s">
        <v>167</v>
      </c>
      <c r="C40" s="395">
        <v>137536.1</v>
      </c>
      <c r="D40" s="395">
        <v>201449.60000000001</v>
      </c>
      <c r="E40" s="395">
        <v>181879.2</v>
      </c>
      <c r="F40" s="395">
        <v>206251.09999999998</v>
      </c>
      <c r="G40" s="395">
        <v>119380.3</v>
      </c>
      <c r="H40" s="395">
        <v>178750</v>
      </c>
      <c r="I40" s="395">
        <v>179747.1</v>
      </c>
      <c r="J40" s="395">
        <v>-274025.3</v>
      </c>
      <c r="K40" s="395">
        <v>288638.2</v>
      </c>
      <c r="L40" s="395">
        <v>269507.59999999998</v>
      </c>
      <c r="M40" s="395">
        <v>248484.6</v>
      </c>
      <c r="N40" s="394">
        <v>-58643.4</v>
      </c>
    </row>
    <row r="41" spans="1:14" s="355" customFormat="1" ht="10.199999999999999" x14ac:dyDescent="0.2">
      <c r="A41" s="370"/>
      <c r="B41" s="369" t="s">
        <v>147</v>
      </c>
      <c r="C41" s="368">
        <f t="shared" ref="C41:N41" si="8">SUM(C42:C46)</f>
        <v>590503.69999999995</v>
      </c>
      <c r="D41" s="368">
        <f t="shared" si="8"/>
        <v>654417.19999999984</v>
      </c>
      <c r="E41" s="368">
        <f t="shared" si="8"/>
        <v>634846.9</v>
      </c>
      <c r="F41" s="368">
        <f t="shared" si="8"/>
        <v>658318.79999999993</v>
      </c>
      <c r="G41" s="368">
        <f t="shared" si="8"/>
        <v>571447.99999999988</v>
      </c>
      <c r="H41" s="368">
        <f t="shared" si="8"/>
        <v>629319.66500000004</v>
      </c>
      <c r="I41" s="368">
        <f t="shared" si="8"/>
        <v>630319</v>
      </c>
      <c r="J41" s="368">
        <f t="shared" si="8"/>
        <v>166021.60000000003</v>
      </c>
      <c r="K41" s="368">
        <f t="shared" si="8"/>
        <v>769635.29999999993</v>
      </c>
      <c r="L41" s="389">
        <f t="shared" si="8"/>
        <v>830504.7</v>
      </c>
      <c r="M41" s="368">
        <f t="shared" si="8"/>
        <v>844483.39999999991</v>
      </c>
      <c r="N41" s="367">
        <f t="shared" si="8"/>
        <v>554568.6</v>
      </c>
    </row>
    <row r="42" spans="1:14" s="355" customFormat="1" ht="10.199999999999999" x14ac:dyDescent="0.2">
      <c r="A42" s="366"/>
      <c r="B42" s="365" t="s">
        <v>135</v>
      </c>
      <c r="C42" s="364">
        <f t="shared" ref="C42:N42" si="9">C8+C14+C20+C26+C32+C35+C40</f>
        <v>202850.5</v>
      </c>
      <c r="D42" s="364">
        <f t="shared" si="9"/>
        <v>265583.59999999998</v>
      </c>
      <c r="E42" s="364">
        <f t="shared" si="9"/>
        <v>246018</v>
      </c>
      <c r="F42" s="364">
        <f t="shared" si="9"/>
        <v>269771.89999999997</v>
      </c>
      <c r="G42" s="364">
        <f t="shared" si="9"/>
        <v>182901.5</v>
      </c>
      <c r="H42" s="364">
        <f t="shared" si="9"/>
        <v>241937.23499999999</v>
      </c>
      <c r="I42" s="364">
        <f t="shared" si="9"/>
        <v>242935.3</v>
      </c>
      <c r="J42" s="364">
        <f t="shared" si="9"/>
        <v>-210826.4</v>
      </c>
      <c r="K42" s="364">
        <f t="shared" si="9"/>
        <v>351524.60000000003</v>
      </c>
      <c r="L42" s="396">
        <f t="shared" si="9"/>
        <v>345694</v>
      </c>
      <c r="M42" s="364">
        <f t="shared" si="9"/>
        <v>324213.2</v>
      </c>
      <c r="N42" s="363">
        <f t="shared" si="9"/>
        <v>8189.2999999999956</v>
      </c>
    </row>
    <row r="43" spans="1:14" s="355" customFormat="1" ht="10.199999999999999" x14ac:dyDescent="0.2">
      <c r="A43" s="366"/>
      <c r="B43" s="365" t="s">
        <v>136</v>
      </c>
      <c r="C43" s="364">
        <f t="shared" ref="C43:N43" si="10">C9+C15+C21+C27+C36</f>
        <v>354433.1</v>
      </c>
      <c r="D43" s="364">
        <f t="shared" si="10"/>
        <v>355701.3</v>
      </c>
      <c r="E43" s="364">
        <f t="shared" si="10"/>
        <v>356446.3</v>
      </c>
      <c r="F43" s="364">
        <f t="shared" si="10"/>
        <v>356652.2</v>
      </c>
      <c r="G43" s="364">
        <f t="shared" si="10"/>
        <v>356702.2</v>
      </c>
      <c r="H43" s="364">
        <f t="shared" si="10"/>
        <v>356853.2</v>
      </c>
      <c r="I43" s="364">
        <f t="shared" si="10"/>
        <v>356903.2</v>
      </c>
      <c r="J43" s="364">
        <f t="shared" si="10"/>
        <v>346158.2</v>
      </c>
      <c r="K43" s="364">
        <f t="shared" si="10"/>
        <v>381848.4</v>
      </c>
      <c r="L43" s="396">
        <f t="shared" si="10"/>
        <v>435735.9</v>
      </c>
      <c r="M43" s="364">
        <f t="shared" si="10"/>
        <v>466052.30000000005</v>
      </c>
      <c r="N43" s="363">
        <f t="shared" si="10"/>
        <v>491382.19999999995</v>
      </c>
    </row>
    <row r="44" spans="1:14" s="355" customFormat="1" ht="10.199999999999999" x14ac:dyDescent="0.2">
      <c r="A44" s="366"/>
      <c r="B44" s="365" t="s">
        <v>154</v>
      </c>
      <c r="C44" s="364">
        <f t="shared" ref="C44:N44" si="11">C10+C16+C22+C28</f>
        <v>16064.1</v>
      </c>
      <c r="D44" s="364">
        <f t="shared" si="11"/>
        <v>15849.1</v>
      </c>
      <c r="E44" s="364">
        <f t="shared" si="11"/>
        <v>15104.1</v>
      </c>
      <c r="F44" s="364">
        <f t="shared" si="11"/>
        <v>14695.1</v>
      </c>
      <c r="G44" s="364">
        <f t="shared" si="11"/>
        <v>14725.1</v>
      </c>
      <c r="H44" s="364">
        <f t="shared" si="11"/>
        <v>14358.4</v>
      </c>
      <c r="I44" s="364">
        <f t="shared" si="11"/>
        <v>14308.4</v>
      </c>
      <c r="J44" s="364">
        <f t="shared" si="11"/>
        <v>14558.4</v>
      </c>
      <c r="K44" s="364">
        <f t="shared" si="11"/>
        <v>17153.400000000001</v>
      </c>
      <c r="L44" s="396">
        <f t="shared" si="11"/>
        <v>25690.9</v>
      </c>
      <c r="M44" s="364">
        <f t="shared" si="11"/>
        <v>30797.699999999997</v>
      </c>
      <c r="N44" s="363">
        <f t="shared" si="11"/>
        <v>31387.699999999997</v>
      </c>
    </row>
    <row r="45" spans="1:14" s="355" customFormat="1" ht="10.199999999999999" x14ac:dyDescent="0.2">
      <c r="A45" s="366"/>
      <c r="B45" s="365" t="s">
        <v>155</v>
      </c>
      <c r="C45" s="364">
        <f t="shared" ref="C45:N45" si="12">C11+C17+C23+C29</f>
        <v>5271</v>
      </c>
      <c r="D45" s="364">
        <f t="shared" si="12"/>
        <v>5371</v>
      </c>
      <c r="E45" s="364">
        <f t="shared" si="12"/>
        <v>5371.1</v>
      </c>
      <c r="F45" s="364">
        <f t="shared" si="12"/>
        <v>5342.2</v>
      </c>
      <c r="G45" s="364">
        <f t="shared" si="12"/>
        <v>5342.2</v>
      </c>
      <c r="H45" s="364">
        <f t="shared" si="12"/>
        <v>5243.7</v>
      </c>
      <c r="I45" s="364">
        <f t="shared" si="12"/>
        <v>5243.7</v>
      </c>
      <c r="J45" s="364">
        <f t="shared" si="12"/>
        <v>5263.7</v>
      </c>
      <c r="K45" s="364">
        <f t="shared" si="12"/>
        <v>8243.7000000000007</v>
      </c>
      <c r="L45" s="396">
        <f t="shared" si="12"/>
        <v>12468.7</v>
      </c>
      <c r="M45" s="364">
        <f t="shared" si="12"/>
        <v>12623.6</v>
      </c>
      <c r="N45" s="363">
        <f t="shared" si="12"/>
        <v>12623.6</v>
      </c>
    </row>
    <row r="46" spans="1:14" s="355" customFormat="1" ht="10.199999999999999" x14ac:dyDescent="0.2">
      <c r="A46" s="366"/>
      <c r="B46" s="365" t="s">
        <v>156</v>
      </c>
      <c r="C46" s="364">
        <f t="shared" ref="C46:N46" si="13">C12+C18+C24+C30+C37+C33</f>
        <v>11885</v>
      </c>
      <c r="D46" s="364">
        <f t="shared" si="13"/>
        <v>11912.2</v>
      </c>
      <c r="E46" s="364">
        <f t="shared" si="13"/>
        <v>11907.4</v>
      </c>
      <c r="F46" s="364">
        <f t="shared" si="13"/>
        <v>11857.4</v>
      </c>
      <c r="G46" s="364">
        <f t="shared" si="13"/>
        <v>11777</v>
      </c>
      <c r="H46" s="364">
        <f t="shared" si="13"/>
        <v>10927.130000000001</v>
      </c>
      <c r="I46" s="364">
        <f t="shared" si="13"/>
        <v>10928.400000000001</v>
      </c>
      <c r="J46" s="364">
        <f t="shared" si="13"/>
        <v>10867.7</v>
      </c>
      <c r="K46" s="364">
        <f t="shared" si="13"/>
        <v>10865.2</v>
      </c>
      <c r="L46" s="396">
        <f t="shared" si="13"/>
        <v>10915.2</v>
      </c>
      <c r="M46" s="364">
        <f t="shared" si="13"/>
        <v>10796.600000000002</v>
      </c>
      <c r="N46" s="363">
        <f t="shared" si="13"/>
        <v>10985.8</v>
      </c>
    </row>
    <row r="47" spans="1:14" s="355" customFormat="1" ht="21" thickBot="1" x14ac:dyDescent="0.25">
      <c r="A47" s="362"/>
      <c r="B47" s="361" t="s">
        <v>161</v>
      </c>
      <c r="C47" s="360">
        <f t="shared" ref="C47:N47" si="14">C41-C39</f>
        <v>452967.6</v>
      </c>
      <c r="D47" s="360">
        <f t="shared" si="14"/>
        <v>452967.59999999986</v>
      </c>
      <c r="E47" s="360">
        <f t="shared" si="14"/>
        <v>452967.7</v>
      </c>
      <c r="F47" s="359">
        <f t="shared" si="14"/>
        <v>452067.69999999995</v>
      </c>
      <c r="G47" s="359">
        <f t="shared" si="14"/>
        <v>452067.6999999999</v>
      </c>
      <c r="H47" s="359">
        <f t="shared" si="14"/>
        <v>450569.66500000004</v>
      </c>
      <c r="I47" s="359">
        <f t="shared" si="14"/>
        <v>450571.9</v>
      </c>
      <c r="J47" s="359">
        <f t="shared" si="14"/>
        <v>440046.9</v>
      </c>
      <c r="K47" s="359">
        <f t="shared" si="14"/>
        <v>480997.09999999992</v>
      </c>
      <c r="L47" s="359">
        <f t="shared" si="14"/>
        <v>560997.1</v>
      </c>
      <c r="M47" s="359">
        <f t="shared" si="14"/>
        <v>595998.79999999993</v>
      </c>
      <c r="N47" s="358">
        <f t="shared" si="14"/>
        <v>613212</v>
      </c>
    </row>
    <row r="48" spans="1:14" s="355" customFormat="1" ht="10.8" thickTop="1" x14ac:dyDescent="0.2">
      <c r="A48" s="357" t="s">
        <v>162</v>
      </c>
      <c r="B48" s="356"/>
      <c r="L48" s="400"/>
    </row>
    <row r="49" spans="1:12" s="355" customFormat="1" ht="10.199999999999999" x14ac:dyDescent="0.2">
      <c r="A49" s="357" t="s">
        <v>163</v>
      </c>
      <c r="B49" s="356"/>
      <c r="L49" s="400"/>
    </row>
    <row r="50" spans="1:12" s="355" customFormat="1" ht="10.199999999999999" x14ac:dyDescent="0.2">
      <c r="L50" s="400"/>
    </row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zoomScale="120" zoomScaleNormal="120" workbookViewId="0">
      <selection activeCell="A2" sqref="A2:N2"/>
    </sheetView>
  </sheetViews>
  <sheetFormatPr defaultRowHeight="13.2" x14ac:dyDescent="0.25"/>
  <cols>
    <col min="1" max="1" width="6.33203125" style="354" customWidth="1"/>
    <col min="2" max="2" width="25" style="354" customWidth="1"/>
    <col min="3" max="11" width="10.33203125" style="354" customWidth="1"/>
    <col min="12" max="12" width="10.33203125" style="399" customWidth="1"/>
    <col min="1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178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177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f t="shared" ref="C7:N7" si="0">SUM(C8:C12)</f>
        <v>215218.1</v>
      </c>
      <c r="D7" s="368">
        <f t="shared" si="0"/>
        <v>215218.19999999998</v>
      </c>
      <c r="E7" s="368">
        <f t="shared" si="0"/>
        <v>218218.19999999998</v>
      </c>
      <c r="F7" s="389">
        <f t="shared" si="0"/>
        <v>222218.19999999998</v>
      </c>
      <c r="G7" s="389">
        <f t="shared" si="0"/>
        <v>222218.19999999998</v>
      </c>
      <c r="H7" s="389">
        <f t="shared" si="0"/>
        <v>222218.1</v>
      </c>
      <c r="I7" s="389">
        <f t="shared" si="0"/>
        <v>235718.2</v>
      </c>
      <c r="J7" s="389">
        <f t="shared" si="0"/>
        <v>233494.2</v>
      </c>
      <c r="K7" s="389">
        <f t="shared" si="0"/>
        <v>218494.07538584998</v>
      </c>
      <c r="L7" s="389">
        <f t="shared" si="0"/>
        <v>212491.6</v>
      </c>
      <c r="M7" s="389">
        <f t="shared" si="0"/>
        <v>231491.52238585</v>
      </c>
      <c r="N7" s="388">
        <f t="shared" si="0"/>
        <v>279591.52238585002</v>
      </c>
    </row>
    <row r="8" spans="1:14" s="355" customFormat="1" ht="10.199999999999999" x14ac:dyDescent="0.2">
      <c r="A8" s="366"/>
      <c r="B8" s="365" t="s">
        <v>135</v>
      </c>
      <c r="C8" s="364">
        <v>21319.9</v>
      </c>
      <c r="D8" s="364">
        <v>21319.9</v>
      </c>
      <c r="E8" s="364">
        <v>25779.9</v>
      </c>
      <c r="F8" s="364">
        <v>20779.900000000001</v>
      </c>
      <c r="G8" s="364">
        <v>20779.900000000001</v>
      </c>
      <c r="H8" s="364">
        <v>20779.900000000001</v>
      </c>
      <c r="I8" s="364">
        <v>20779.900000000001</v>
      </c>
      <c r="J8" s="364">
        <v>18555.900000000001</v>
      </c>
      <c r="K8" s="364">
        <v>13795.875385849999</v>
      </c>
      <c r="L8" s="396">
        <v>13793.3</v>
      </c>
      <c r="M8" s="364">
        <v>15473.322385850001</v>
      </c>
      <c r="N8" s="363">
        <v>15473.322385850002</v>
      </c>
    </row>
    <row r="9" spans="1:14" s="355" customFormat="1" ht="10.199999999999999" x14ac:dyDescent="0.2">
      <c r="A9" s="366"/>
      <c r="B9" s="365" t="s">
        <v>136</v>
      </c>
      <c r="C9" s="364">
        <v>183346.9</v>
      </c>
      <c r="D9" s="364">
        <v>183099.3</v>
      </c>
      <c r="E9" s="364">
        <v>179089.3</v>
      </c>
      <c r="F9" s="364">
        <v>186634.3</v>
      </c>
      <c r="G9" s="364">
        <v>187724.4</v>
      </c>
      <c r="H9" s="364">
        <v>185302.7</v>
      </c>
      <c r="I9" s="364">
        <v>198052.7</v>
      </c>
      <c r="J9" s="364">
        <v>197772.7</v>
      </c>
      <c r="K9" s="364">
        <v>187656.19999999998</v>
      </c>
      <c r="L9" s="396">
        <v>183506.2</v>
      </c>
      <c r="M9" s="364">
        <v>199605.375</v>
      </c>
      <c r="N9" s="363">
        <v>235282.05000000002</v>
      </c>
    </row>
    <row r="10" spans="1:14" s="355" customFormat="1" ht="10.199999999999999" x14ac:dyDescent="0.2">
      <c r="A10" s="366"/>
      <c r="B10" s="365" t="s">
        <v>154</v>
      </c>
      <c r="C10" s="364">
        <v>9602.1</v>
      </c>
      <c r="D10" s="364">
        <v>9217.1</v>
      </c>
      <c r="E10" s="364">
        <v>11967.1</v>
      </c>
      <c r="F10" s="364">
        <v>13337.1</v>
      </c>
      <c r="G10" s="364">
        <v>11718.6</v>
      </c>
      <c r="H10" s="364">
        <v>12713.6</v>
      </c>
      <c r="I10" s="364">
        <v>13013.6</v>
      </c>
      <c r="J10" s="364">
        <v>13113.6</v>
      </c>
      <c r="K10" s="364">
        <v>12673.55</v>
      </c>
      <c r="L10" s="396">
        <v>11053.6</v>
      </c>
      <c r="M10" s="364">
        <v>11963.55</v>
      </c>
      <c r="N10" s="363">
        <v>19063.55</v>
      </c>
    </row>
    <row r="11" spans="1:14" s="355" customFormat="1" ht="10.199999999999999" x14ac:dyDescent="0.2">
      <c r="A11" s="366"/>
      <c r="B11" s="365" t="s">
        <v>155</v>
      </c>
      <c r="C11" s="364">
        <v>719.2</v>
      </c>
      <c r="D11" s="364">
        <v>1201.9000000000001</v>
      </c>
      <c r="E11" s="364">
        <v>1101.9000000000001</v>
      </c>
      <c r="F11" s="364">
        <v>1311.9</v>
      </c>
      <c r="G11" s="364">
        <v>1870.3</v>
      </c>
      <c r="H11" s="364">
        <v>3007</v>
      </c>
      <c r="I11" s="364">
        <v>3457</v>
      </c>
      <c r="J11" s="364">
        <v>3657</v>
      </c>
      <c r="K11" s="364">
        <v>4273.4500000000007</v>
      </c>
      <c r="L11" s="396">
        <v>4038.5</v>
      </c>
      <c r="M11" s="364">
        <v>4049.2750000000001</v>
      </c>
      <c r="N11" s="363">
        <v>9402.6</v>
      </c>
    </row>
    <row r="12" spans="1:14" s="355" customFormat="1" ht="10.199999999999999" x14ac:dyDescent="0.2">
      <c r="A12" s="366"/>
      <c r="B12" s="365" t="s">
        <v>156</v>
      </c>
      <c r="C12" s="364">
        <v>230</v>
      </c>
      <c r="D12" s="364">
        <v>380</v>
      </c>
      <c r="E12" s="364">
        <v>280</v>
      </c>
      <c r="F12" s="364">
        <v>155</v>
      </c>
      <c r="G12" s="364">
        <v>125</v>
      </c>
      <c r="H12" s="364">
        <v>414.9</v>
      </c>
      <c r="I12" s="364">
        <v>415</v>
      </c>
      <c r="J12" s="364">
        <v>395</v>
      </c>
      <c r="K12" s="364">
        <v>95</v>
      </c>
      <c r="L12" s="396">
        <v>100</v>
      </c>
      <c r="M12" s="364">
        <v>400</v>
      </c>
      <c r="N12" s="363">
        <v>370</v>
      </c>
    </row>
    <row r="13" spans="1:14" s="355" customFormat="1" ht="10.199999999999999" x14ac:dyDescent="0.2">
      <c r="A13" s="370">
        <v>2</v>
      </c>
      <c r="B13" s="369" t="s">
        <v>112</v>
      </c>
      <c r="C13" s="368">
        <f t="shared" ref="C13:N13" si="1">SUM(C14:C18)</f>
        <v>389947</v>
      </c>
      <c r="D13" s="368">
        <f t="shared" si="1"/>
        <v>389947</v>
      </c>
      <c r="E13" s="368">
        <f t="shared" si="1"/>
        <v>419947</v>
      </c>
      <c r="F13" s="368">
        <f t="shared" si="1"/>
        <v>439947.00000000006</v>
      </c>
      <c r="G13" s="368">
        <f t="shared" si="1"/>
        <v>439947.00000000006</v>
      </c>
      <c r="H13" s="368">
        <f t="shared" si="1"/>
        <v>433947.10000000003</v>
      </c>
      <c r="I13" s="368">
        <f t="shared" si="1"/>
        <v>453947.10000000003</v>
      </c>
      <c r="J13" s="368">
        <f t="shared" si="1"/>
        <v>473947.1</v>
      </c>
      <c r="K13" s="368">
        <f t="shared" si="1"/>
        <v>473946.99999999994</v>
      </c>
      <c r="L13" s="389">
        <f t="shared" si="1"/>
        <v>473947.1</v>
      </c>
      <c r="M13" s="368">
        <f t="shared" si="1"/>
        <v>488947.00000000006</v>
      </c>
      <c r="N13" s="367">
        <f t="shared" si="1"/>
        <v>513947.00000000012</v>
      </c>
    </row>
    <row r="14" spans="1:14" s="355" customFormat="1" ht="10.199999999999999" x14ac:dyDescent="0.2">
      <c r="A14" s="366"/>
      <c r="B14" s="365" t="s">
        <v>135</v>
      </c>
      <c r="C14" s="364">
        <v>43556.5</v>
      </c>
      <c r="D14" s="364">
        <v>43556.5</v>
      </c>
      <c r="E14" s="364">
        <v>43556.5</v>
      </c>
      <c r="F14" s="364">
        <v>43556.5</v>
      </c>
      <c r="G14" s="364">
        <v>43556.5</v>
      </c>
      <c r="H14" s="364">
        <v>41129</v>
      </c>
      <c r="I14" s="364">
        <v>41129</v>
      </c>
      <c r="J14" s="364">
        <v>41129</v>
      </c>
      <c r="K14" s="364">
        <v>41129.025000000001</v>
      </c>
      <c r="L14" s="396">
        <v>41129</v>
      </c>
      <c r="M14" s="364">
        <v>41129.025000000001</v>
      </c>
      <c r="N14" s="363">
        <v>41129.025000000001</v>
      </c>
    </row>
    <row r="15" spans="1:14" s="355" customFormat="1" ht="10.199999999999999" x14ac:dyDescent="0.2">
      <c r="A15" s="366"/>
      <c r="B15" s="365" t="s">
        <v>136</v>
      </c>
      <c r="C15" s="364">
        <v>308055.3</v>
      </c>
      <c r="D15" s="364">
        <v>308055.3</v>
      </c>
      <c r="E15" s="364">
        <v>327200.3</v>
      </c>
      <c r="F15" s="364">
        <v>342155</v>
      </c>
      <c r="G15" s="364">
        <v>342155</v>
      </c>
      <c r="H15" s="364">
        <v>359183.4</v>
      </c>
      <c r="I15" s="364">
        <v>368487.4</v>
      </c>
      <c r="J15" s="364">
        <v>385265.2</v>
      </c>
      <c r="K15" s="364">
        <v>385265.19999999995</v>
      </c>
      <c r="L15" s="396">
        <v>385919.6</v>
      </c>
      <c r="M15" s="364">
        <v>397554.77500000008</v>
      </c>
      <c r="N15" s="363">
        <v>416359.5500000001</v>
      </c>
    </row>
    <row r="16" spans="1:14" s="355" customFormat="1" ht="10.199999999999999" x14ac:dyDescent="0.2">
      <c r="A16" s="366"/>
      <c r="B16" s="365" t="s">
        <v>154</v>
      </c>
      <c r="C16" s="364">
        <v>21815.599999999999</v>
      </c>
      <c r="D16" s="364">
        <v>21815.599999999999</v>
      </c>
      <c r="E16" s="364">
        <v>28745.599999999999</v>
      </c>
      <c r="F16" s="364">
        <v>32540.9</v>
      </c>
      <c r="G16" s="364">
        <v>32540.9</v>
      </c>
      <c r="H16" s="364">
        <v>19687.900000000001</v>
      </c>
      <c r="I16" s="364">
        <v>28203.9</v>
      </c>
      <c r="J16" s="364">
        <v>29629.1</v>
      </c>
      <c r="K16" s="364">
        <v>29629.049999999996</v>
      </c>
      <c r="L16" s="396">
        <v>28974.7</v>
      </c>
      <c r="M16" s="364">
        <v>31529.474999999999</v>
      </c>
      <c r="N16" s="363">
        <v>37694.699999999997</v>
      </c>
    </row>
    <row r="17" spans="1:14" s="355" customFormat="1" ht="10.199999999999999" x14ac:dyDescent="0.2">
      <c r="A17" s="366"/>
      <c r="B17" s="365" t="s">
        <v>155</v>
      </c>
      <c r="C17" s="364">
        <v>11904.4</v>
      </c>
      <c r="D17" s="364">
        <v>11904.4</v>
      </c>
      <c r="E17" s="364">
        <v>14929.4</v>
      </c>
      <c r="F17" s="364">
        <v>16079.4</v>
      </c>
      <c r="G17" s="364">
        <v>16079.4</v>
      </c>
      <c r="H17" s="364">
        <v>8821.6</v>
      </c>
      <c r="I17" s="364">
        <v>11001.6</v>
      </c>
      <c r="J17" s="364">
        <v>12598.6</v>
      </c>
      <c r="K17" s="364">
        <v>12598.549999999997</v>
      </c>
      <c r="L17" s="396">
        <v>12598.6</v>
      </c>
      <c r="M17" s="364">
        <v>13008.549999999997</v>
      </c>
      <c r="N17" s="363">
        <v>13038.549999999997</v>
      </c>
    </row>
    <row r="18" spans="1:14" s="355" customFormat="1" ht="10.199999999999999" x14ac:dyDescent="0.2">
      <c r="A18" s="366"/>
      <c r="B18" s="365" t="s">
        <v>140</v>
      </c>
      <c r="C18" s="364">
        <v>4615.2</v>
      </c>
      <c r="D18" s="364">
        <v>4615.2</v>
      </c>
      <c r="E18" s="364">
        <v>5515.2</v>
      </c>
      <c r="F18" s="364">
        <v>5615.2</v>
      </c>
      <c r="G18" s="364">
        <v>5615.2</v>
      </c>
      <c r="H18" s="364">
        <v>5125.2</v>
      </c>
      <c r="I18" s="364">
        <v>5125.2</v>
      </c>
      <c r="J18" s="364">
        <v>5325.2</v>
      </c>
      <c r="K18" s="364">
        <v>5325.1750000000002</v>
      </c>
      <c r="L18" s="396">
        <v>5325.2</v>
      </c>
      <c r="M18" s="364">
        <v>5725.1749999999993</v>
      </c>
      <c r="N18" s="363">
        <v>5725.1749999999993</v>
      </c>
    </row>
    <row r="19" spans="1:14" s="355" customFormat="1" ht="10.199999999999999" x14ac:dyDescent="0.2">
      <c r="A19" s="370">
        <v>3</v>
      </c>
      <c r="B19" s="369" t="s">
        <v>113</v>
      </c>
      <c r="C19" s="368">
        <f t="shared" ref="C19:N19" si="2">SUM(C20:C24)</f>
        <v>0</v>
      </c>
      <c r="D19" s="368">
        <f t="shared" si="2"/>
        <v>0</v>
      </c>
      <c r="E19" s="368">
        <f t="shared" si="2"/>
        <v>0</v>
      </c>
      <c r="F19" s="368">
        <f t="shared" si="2"/>
        <v>0</v>
      </c>
      <c r="G19" s="368">
        <f t="shared" si="2"/>
        <v>0</v>
      </c>
      <c r="H19" s="368">
        <f t="shared" si="2"/>
        <v>0</v>
      </c>
      <c r="I19" s="368">
        <f t="shared" si="2"/>
        <v>0</v>
      </c>
      <c r="J19" s="368">
        <f t="shared" si="2"/>
        <v>0</v>
      </c>
      <c r="K19" s="368">
        <f t="shared" si="2"/>
        <v>0</v>
      </c>
      <c r="L19" s="389">
        <f t="shared" si="2"/>
        <v>0</v>
      </c>
      <c r="M19" s="368">
        <f t="shared" si="2"/>
        <v>0</v>
      </c>
      <c r="N19" s="367">
        <f t="shared" si="2"/>
        <v>0</v>
      </c>
    </row>
    <row r="20" spans="1:14" s="355" customFormat="1" ht="10.199999999999999" x14ac:dyDescent="0.2">
      <c r="A20" s="366"/>
      <c r="B20" s="365" t="s">
        <v>135</v>
      </c>
      <c r="C20" s="364">
        <v>0</v>
      </c>
      <c r="D20" s="364">
        <v>0</v>
      </c>
      <c r="E20" s="364">
        <v>0</v>
      </c>
      <c r="F20" s="364">
        <v>0</v>
      </c>
      <c r="G20" s="364">
        <v>0</v>
      </c>
      <c r="H20" s="364">
        <v>0</v>
      </c>
      <c r="I20" s="364">
        <v>0</v>
      </c>
      <c r="J20" s="364">
        <v>0</v>
      </c>
      <c r="K20" s="364">
        <v>0</v>
      </c>
      <c r="L20" s="396">
        <v>0</v>
      </c>
      <c r="M20" s="364">
        <v>0</v>
      </c>
      <c r="N20" s="363">
        <v>0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64">
        <v>0</v>
      </c>
      <c r="K21" s="364">
        <v>0</v>
      </c>
      <c r="L21" s="396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64">
        <v>0</v>
      </c>
      <c r="K22" s="364">
        <v>0</v>
      </c>
      <c r="L22" s="396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64">
        <v>0</v>
      </c>
      <c r="K23" s="364">
        <v>0</v>
      </c>
      <c r="L23" s="396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0</v>
      </c>
      <c r="D24" s="364">
        <v>0</v>
      </c>
      <c r="E24" s="364">
        <v>0</v>
      </c>
      <c r="F24" s="364">
        <v>0</v>
      </c>
      <c r="G24" s="364">
        <v>0</v>
      </c>
      <c r="H24" s="364">
        <v>0</v>
      </c>
      <c r="I24" s="364">
        <v>0</v>
      </c>
      <c r="J24" s="364">
        <v>0</v>
      </c>
      <c r="K24" s="364">
        <v>0</v>
      </c>
      <c r="L24" s="396">
        <v>0</v>
      </c>
      <c r="M24" s="364">
        <v>0</v>
      </c>
      <c r="N24" s="363">
        <v>0</v>
      </c>
    </row>
    <row r="25" spans="1:14" s="355" customFormat="1" ht="10.199999999999999" x14ac:dyDescent="0.2">
      <c r="A25" s="370">
        <v>4</v>
      </c>
      <c r="B25" s="369" t="s">
        <v>114</v>
      </c>
      <c r="C25" s="368">
        <f t="shared" ref="C25:N25" si="3">SUM(C26:C30)</f>
        <v>7642</v>
      </c>
      <c r="D25" s="368">
        <f t="shared" si="3"/>
        <v>7642</v>
      </c>
      <c r="E25" s="368">
        <f t="shared" si="3"/>
        <v>7642</v>
      </c>
      <c r="F25" s="368">
        <f t="shared" si="3"/>
        <v>7642</v>
      </c>
      <c r="G25" s="368">
        <f t="shared" si="3"/>
        <v>7641.9</v>
      </c>
      <c r="H25" s="368">
        <f t="shared" si="3"/>
        <v>7641.9</v>
      </c>
      <c r="I25" s="368">
        <f t="shared" si="3"/>
        <v>7642</v>
      </c>
      <c r="J25" s="389">
        <f t="shared" si="3"/>
        <v>9641.9</v>
      </c>
      <c r="K25" s="368">
        <f t="shared" si="3"/>
        <v>4641.9599999999991</v>
      </c>
      <c r="L25" s="389">
        <f t="shared" si="3"/>
        <v>4641.9000000000005</v>
      </c>
      <c r="M25" s="368">
        <f t="shared" si="3"/>
        <v>4641.96</v>
      </c>
      <c r="N25" s="367">
        <f t="shared" si="3"/>
        <v>6595.8899999999994</v>
      </c>
    </row>
    <row r="26" spans="1:14" s="355" customFormat="1" ht="10.199999999999999" x14ac:dyDescent="0.2">
      <c r="A26" s="366"/>
      <c r="B26" s="365" t="s">
        <v>141</v>
      </c>
      <c r="C26" s="364">
        <v>1951.1</v>
      </c>
      <c r="D26" s="364">
        <v>1951.1</v>
      </c>
      <c r="E26" s="364">
        <v>1953</v>
      </c>
      <c r="F26" s="364">
        <v>1953</v>
      </c>
      <c r="G26" s="364">
        <v>1953</v>
      </c>
      <c r="H26" s="364">
        <v>1953</v>
      </c>
      <c r="I26" s="364">
        <v>1953.3</v>
      </c>
      <c r="J26" s="396">
        <v>1959.6</v>
      </c>
      <c r="K26" s="364">
        <v>143.28</v>
      </c>
      <c r="L26" s="396">
        <v>143.30000000000001</v>
      </c>
      <c r="M26" s="364">
        <v>143.28</v>
      </c>
      <c r="N26" s="363">
        <v>181.17000000000002</v>
      </c>
    </row>
    <row r="27" spans="1:14" s="355" customFormat="1" ht="10.199999999999999" x14ac:dyDescent="0.2">
      <c r="A27" s="366"/>
      <c r="B27" s="365" t="s">
        <v>136</v>
      </c>
      <c r="C27" s="364">
        <v>0</v>
      </c>
      <c r="D27" s="364">
        <v>0</v>
      </c>
      <c r="E27" s="364">
        <v>0</v>
      </c>
      <c r="F27" s="364">
        <v>0</v>
      </c>
      <c r="G27" s="364">
        <v>0</v>
      </c>
      <c r="H27" s="364">
        <v>0</v>
      </c>
      <c r="I27" s="364">
        <v>0</v>
      </c>
      <c r="J27" s="396"/>
      <c r="K27" s="364">
        <v>0</v>
      </c>
      <c r="L27" s="396">
        <v>0</v>
      </c>
      <c r="M27" s="364">
        <v>0</v>
      </c>
      <c r="N27" s="363">
        <v>0</v>
      </c>
    </row>
    <row r="28" spans="1:14" s="355" customFormat="1" ht="10.199999999999999" x14ac:dyDescent="0.2">
      <c r="A28" s="366"/>
      <c r="B28" s="365" t="s">
        <v>154</v>
      </c>
      <c r="C28" s="364">
        <v>0</v>
      </c>
      <c r="D28" s="364">
        <v>0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  <c r="J28" s="396"/>
      <c r="K28" s="364">
        <v>0</v>
      </c>
      <c r="L28" s="396">
        <v>0</v>
      </c>
      <c r="M28" s="364">
        <v>0</v>
      </c>
      <c r="N28" s="363">
        <v>0</v>
      </c>
    </row>
    <row r="29" spans="1:14" s="355" customFormat="1" ht="10.199999999999999" x14ac:dyDescent="0.2">
      <c r="A29" s="366"/>
      <c r="B29" s="365" t="s">
        <v>155</v>
      </c>
      <c r="C29" s="364">
        <v>0</v>
      </c>
      <c r="D29" s="364">
        <v>0</v>
      </c>
      <c r="E29" s="364">
        <v>0</v>
      </c>
      <c r="F29" s="364">
        <v>0</v>
      </c>
      <c r="G29" s="364">
        <v>0</v>
      </c>
      <c r="H29" s="364">
        <v>0</v>
      </c>
      <c r="I29" s="364">
        <v>0</v>
      </c>
      <c r="J29" s="396"/>
      <c r="K29" s="364">
        <v>0</v>
      </c>
      <c r="L29" s="396">
        <v>0</v>
      </c>
      <c r="M29" s="364">
        <v>0</v>
      </c>
      <c r="N29" s="363">
        <v>0</v>
      </c>
    </row>
    <row r="30" spans="1:14" s="355" customFormat="1" ht="10.199999999999999" x14ac:dyDescent="0.2">
      <c r="A30" s="366"/>
      <c r="B30" s="365" t="s">
        <v>156</v>
      </c>
      <c r="C30" s="364">
        <v>5690.9</v>
      </c>
      <c r="D30" s="364">
        <v>5690.9</v>
      </c>
      <c r="E30" s="364">
        <v>5689</v>
      </c>
      <c r="F30" s="364">
        <v>5689</v>
      </c>
      <c r="G30" s="364">
        <v>5688.9</v>
      </c>
      <c r="H30" s="364">
        <v>5688.9</v>
      </c>
      <c r="I30" s="364">
        <v>5688.7</v>
      </c>
      <c r="J30" s="396">
        <v>7682.2999999999993</v>
      </c>
      <c r="K30" s="364">
        <v>4498.6799999999994</v>
      </c>
      <c r="L30" s="396">
        <v>4498.6000000000004</v>
      </c>
      <c r="M30" s="364">
        <v>4498.68</v>
      </c>
      <c r="N30" s="363">
        <v>6414.7199999999993</v>
      </c>
    </row>
    <row r="31" spans="1:14" s="355" customFormat="1" ht="10.199999999999999" x14ac:dyDescent="0.2">
      <c r="A31" s="370">
        <v>5</v>
      </c>
      <c r="B31" s="369" t="s">
        <v>157</v>
      </c>
      <c r="C31" s="386">
        <f t="shared" ref="C31:N31" si="4">SUM(C32:C33)</f>
        <v>404.9</v>
      </c>
      <c r="D31" s="386">
        <f t="shared" si="4"/>
        <v>404.9</v>
      </c>
      <c r="E31" s="386">
        <f t="shared" si="4"/>
        <v>404.9</v>
      </c>
      <c r="F31" s="386">
        <f t="shared" si="4"/>
        <v>404.9</v>
      </c>
      <c r="G31" s="386">
        <f t="shared" si="4"/>
        <v>404.9</v>
      </c>
      <c r="H31" s="386">
        <f t="shared" si="4"/>
        <v>404.9</v>
      </c>
      <c r="I31" s="386">
        <f t="shared" si="4"/>
        <v>405</v>
      </c>
      <c r="J31" s="386">
        <f t="shared" si="4"/>
        <v>420.3</v>
      </c>
      <c r="K31" s="386">
        <f t="shared" si="4"/>
        <v>338.19500000000005</v>
      </c>
      <c r="L31" s="386">
        <f t="shared" si="4"/>
        <v>258.2</v>
      </c>
      <c r="M31" s="386">
        <f t="shared" si="4"/>
        <v>258.19499999999999</v>
      </c>
      <c r="N31" s="385">
        <f t="shared" si="4"/>
        <v>185.65499999999997</v>
      </c>
    </row>
    <row r="32" spans="1:14" s="355" customFormat="1" ht="10.199999999999999" x14ac:dyDescent="0.2">
      <c r="A32" s="366"/>
      <c r="B32" s="365" t="s">
        <v>135</v>
      </c>
      <c r="C32" s="383">
        <v>10.7</v>
      </c>
      <c r="D32" s="383">
        <v>10.7</v>
      </c>
      <c r="E32" s="383">
        <v>10.7</v>
      </c>
      <c r="F32" s="383">
        <v>10.7</v>
      </c>
      <c r="G32" s="383">
        <v>10.7</v>
      </c>
      <c r="H32" s="383">
        <v>7.7</v>
      </c>
      <c r="I32" s="383">
        <v>11.2</v>
      </c>
      <c r="J32" s="397">
        <v>11.2</v>
      </c>
      <c r="K32" s="397">
        <v>9.7649999999999988</v>
      </c>
      <c r="L32" s="397">
        <v>5.9</v>
      </c>
      <c r="M32" s="383">
        <v>5.8999999999999995</v>
      </c>
      <c r="N32" s="382">
        <v>3</v>
      </c>
    </row>
    <row r="33" spans="1:14" s="355" customFormat="1" ht="10.199999999999999" x14ac:dyDescent="0.2">
      <c r="A33" s="366"/>
      <c r="B33" s="365" t="s">
        <v>158</v>
      </c>
      <c r="C33" s="364">
        <v>394.2</v>
      </c>
      <c r="D33" s="364">
        <v>394.2</v>
      </c>
      <c r="E33" s="364">
        <v>394.2</v>
      </c>
      <c r="F33" s="364">
        <v>394.2</v>
      </c>
      <c r="G33" s="364">
        <v>394.2</v>
      </c>
      <c r="H33" s="364">
        <v>397.2</v>
      </c>
      <c r="I33" s="364">
        <v>393.8</v>
      </c>
      <c r="J33" s="396">
        <v>409.1</v>
      </c>
      <c r="K33" s="396">
        <v>328.43000000000006</v>
      </c>
      <c r="L33" s="396">
        <v>252.3</v>
      </c>
      <c r="M33" s="364">
        <v>252.29500000000002</v>
      </c>
      <c r="N33" s="363">
        <v>182.65499999999997</v>
      </c>
    </row>
    <row r="34" spans="1:14" s="373" customFormat="1" ht="10.199999999999999" hidden="1" x14ac:dyDescent="0.2">
      <c r="A34" s="381">
        <v>6</v>
      </c>
      <c r="B34" s="380" t="s">
        <v>115</v>
      </c>
      <c r="C34" s="379">
        <f t="shared" ref="C34:K34" si="5">SUM(C35:C37)</f>
        <v>0</v>
      </c>
      <c r="D34" s="379">
        <f t="shared" si="5"/>
        <v>0</v>
      </c>
      <c r="E34" s="379">
        <f t="shared" si="5"/>
        <v>0</v>
      </c>
      <c r="F34" s="379">
        <f t="shared" si="5"/>
        <v>0</v>
      </c>
      <c r="G34" s="379">
        <f t="shared" si="5"/>
        <v>0</v>
      </c>
      <c r="H34" s="379">
        <f t="shared" si="5"/>
        <v>0</v>
      </c>
      <c r="I34" s="379">
        <f t="shared" si="5"/>
        <v>0</v>
      </c>
      <c r="J34" s="379">
        <f t="shared" si="5"/>
        <v>0</v>
      </c>
      <c r="K34" s="379">
        <f t="shared" si="5"/>
        <v>0</v>
      </c>
      <c r="L34" s="389">
        <v>0</v>
      </c>
      <c r="M34" s="379">
        <v>0</v>
      </c>
      <c r="N34" s="378"/>
    </row>
    <row r="35" spans="1:14" s="373" customFormat="1" ht="10.199999999999999" hidden="1" x14ac:dyDescent="0.2">
      <c r="A35" s="377"/>
      <c r="B35" s="376" t="s">
        <v>135</v>
      </c>
      <c r="C35" s="375">
        <v>0</v>
      </c>
      <c r="D35" s="375">
        <v>0</v>
      </c>
      <c r="E35" s="375">
        <v>0</v>
      </c>
      <c r="F35" s="375">
        <v>0</v>
      </c>
      <c r="G35" s="375">
        <v>0</v>
      </c>
      <c r="H35" s="375">
        <v>0</v>
      </c>
      <c r="I35" s="375">
        <v>0</v>
      </c>
      <c r="J35" s="375">
        <v>0</v>
      </c>
      <c r="K35" s="375">
        <v>0</v>
      </c>
      <c r="L35" s="396">
        <v>0</v>
      </c>
      <c r="M35" s="375">
        <v>0</v>
      </c>
      <c r="N35" s="398">
        <v>0</v>
      </c>
    </row>
    <row r="36" spans="1:14" s="373" customFormat="1" ht="10.199999999999999" hidden="1" x14ac:dyDescent="0.2">
      <c r="A36" s="377"/>
      <c r="B36" s="376" t="s">
        <v>159</v>
      </c>
      <c r="C36" s="375">
        <v>0</v>
      </c>
      <c r="D36" s="375">
        <v>0</v>
      </c>
      <c r="E36" s="375">
        <v>0</v>
      </c>
      <c r="F36" s="375">
        <v>0</v>
      </c>
      <c r="G36" s="375">
        <v>0</v>
      </c>
      <c r="H36" s="375">
        <v>0</v>
      </c>
      <c r="I36" s="375">
        <v>0</v>
      </c>
      <c r="J36" s="375">
        <v>0</v>
      </c>
      <c r="K36" s="375">
        <v>0</v>
      </c>
      <c r="L36" s="396">
        <v>0</v>
      </c>
      <c r="M36" s="375">
        <v>0</v>
      </c>
      <c r="N36" s="398">
        <v>0</v>
      </c>
    </row>
    <row r="37" spans="1:14" s="373" customFormat="1" ht="10.199999999999999" hidden="1" x14ac:dyDescent="0.2">
      <c r="A37" s="377"/>
      <c r="B37" s="376" t="s">
        <v>140</v>
      </c>
      <c r="C37" s="375">
        <v>0</v>
      </c>
      <c r="D37" s="375">
        <v>0</v>
      </c>
      <c r="E37" s="375">
        <v>0</v>
      </c>
      <c r="F37" s="375">
        <v>0</v>
      </c>
      <c r="G37" s="375">
        <v>0</v>
      </c>
      <c r="H37" s="375">
        <v>0</v>
      </c>
      <c r="I37" s="375">
        <v>0</v>
      </c>
      <c r="J37" s="375">
        <v>0</v>
      </c>
      <c r="K37" s="375">
        <v>0</v>
      </c>
      <c r="L37" s="396">
        <v>0</v>
      </c>
      <c r="M37" s="375">
        <v>0</v>
      </c>
      <c r="N37" s="398">
        <v>0</v>
      </c>
    </row>
    <row r="38" spans="1:14" s="355" customFormat="1" ht="10.199999999999999" x14ac:dyDescent="0.2">
      <c r="A38" s="370"/>
      <c r="B38" s="369" t="s">
        <v>147</v>
      </c>
      <c r="C38" s="368">
        <f t="shared" ref="C38:N38" si="6">+C7+C13+C19+C25+C31</f>
        <v>613212</v>
      </c>
      <c r="D38" s="368">
        <f t="shared" si="6"/>
        <v>613212.1</v>
      </c>
      <c r="E38" s="368">
        <f t="shared" si="6"/>
        <v>646212.1</v>
      </c>
      <c r="F38" s="368">
        <f t="shared" si="6"/>
        <v>670212.10000000009</v>
      </c>
      <c r="G38" s="368">
        <f t="shared" si="6"/>
        <v>670212.00000000012</v>
      </c>
      <c r="H38" s="368">
        <f t="shared" si="6"/>
        <v>664212.00000000012</v>
      </c>
      <c r="I38" s="368">
        <f t="shared" si="6"/>
        <v>697712.3</v>
      </c>
      <c r="J38" s="368">
        <f t="shared" si="6"/>
        <v>717503.50000000012</v>
      </c>
      <c r="K38" s="368">
        <f t="shared" si="6"/>
        <v>697421.23038584983</v>
      </c>
      <c r="L38" s="368">
        <f t="shared" si="6"/>
        <v>691338.79999999993</v>
      </c>
      <c r="M38" s="368">
        <f t="shared" si="6"/>
        <v>725338.67738584999</v>
      </c>
      <c r="N38" s="368">
        <f t="shared" si="6"/>
        <v>800320.06738585012</v>
      </c>
    </row>
    <row r="39" spans="1:14" s="355" customFormat="1" ht="10.199999999999999" x14ac:dyDescent="0.2">
      <c r="A39" s="370">
        <v>7</v>
      </c>
      <c r="B39" s="369" t="s">
        <v>166</v>
      </c>
      <c r="C39" s="379">
        <f t="shared" ref="C39:N39" si="7">C40</f>
        <v>137536.1</v>
      </c>
      <c r="D39" s="379">
        <f t="shared" si="7"/>
        <v>201449.60000000001</v>
      </c>
      <c r="E39" s="379">
        <f t="shared" si="7"/>
        <v>181879.2</v>
      </c>
      <c r="F39" s="379">
        <f t="shared" si="7"/>
        <v>206251.09999999998</v>
      </c>
      <c r="G39" s="379">
        <f t="shared" si="7"/>
        <v>119380.3</v>
      </c>
      <c r="H39" s="379">
        <f t="shared" si="7"/>
        <v>178750</v>
      </c>
      <c r="I39" s="379">
        <f t="shared" si="7"/>
        <v>179747.1</v>
      </c>
      <c r="J39" s="379">
        <f t="shared" si="7"/>
        <v>-274025.3</v>
      </c>
      <c r="K39" s="379">
        <f t="shared" si="7"/>
        <v>288638.2</v>
      </c>
      <c r="L39" s="379">
        <f t="shared" si="7"/>
        <v>269507.59999999998</v>
      </c>
      <c r="M39" s="379">
        <f t="shared" si="7"/>
        <v>248484.6</v>
      </c>
      <c r="N39" s="388">
        <f t="shared" si="7"/>
        <v>-194697.8</v>
      </c>
    </row>
    <row r="40" spans="1:14" s="355" customFormat="1" ht="10.199999999999999" x14ac:dyDescent="0.2">
      <c r="A40" s="366"/>
      <c r="B40" s="365" t="s">
        <v>167</v>
      </c>
      <c r="C40" s="395">
        <v>137536.1</v>
      </c>
      <c r="D40" s="395">
        <v>201449.60000000001</v>
      </c>
      <c r="E40" s="395">
        <v>181879.2</v>
      </c>
      <c r="F40" s="395">
        <v>206251.09999999998</v>
      </c>
      <c r="G40" s="395">
        <v>119380.3</v>
      </c>
      <c r="H40" s="395">
        <v>178750</v>
      </c>
      <c r="I40" s="395">
        <v>179747.1</v>
      </c>
      <c r="J40" s="395">
        <v>-274025.3</v>
      </c>
      <c r="K40" s="395">
        <v>288638.2</v>
      </c>
      <c r="L40" s="395">
        <v>269507.59999999998</v>
      </c>
      <c r="M40" s="395">
        <v>248484.6</v>
      </c>
      <c r="N40" s="371">
        <v>-194697.8</v>
      </c>
    </row>
    <row r="41" spans="1:14" s="355" customFormat="1" ht="10.199999999999999" x14ac:dyDescent="0.2">
      <c r="A41" s="370"/>
      <c r="B41" s="369" t="s">
        <v>147</v>
      </c>
      <c r="C41" s="368">
        <f t="shared" ref="C41:N41" si="8">SUM(C42:C46)</f>
        <v>750748.1</v>
      </c>
      <c r="D41" s="368">
        <f t="shared" si="8"/>
        <v>814661.7</v>
      </c>
      <c r="E41" s="368">
        <f t="shared" si="8"/>
        <v>828091.29999999993</v>
      </c>
      <c r="F41" s="368">
        <f t="shared" si="8"/>
        <v>876463.20000000007</v>
      </c>
      <c r="G41" s="368">
        <f t="shared" si="8"/>
        <v>789592.3</v>
      </c>
      <c r="H41" s="368">
        <f t="shared" si="8"/>
        <v>842962</v>
      </c>
      <c r="I41" s="368">
        <f t="shared" si="8"/>
        <v>877459.4</v>
      </c>
      <c r="J41" s="368">
        <f t="shared" si="8"/>
        <v>443478.2</v>
      </c>
      <c r="K41" s="368">
        <f t="shared" si="8"/>
        <v>986059.4303858499</v>
      </c>
      <c r="L41" s="389">
        <f t="shared" si="8"/>
        <v>960846.4</v>
      </c>
      <c r="M41" s="368">
        <f t="shared" si="8"/>
        <v>973823.2773858502</v>
      </c>
      <c r="N41" s="367">
        <f t="shared" si="8"/>
        <v>605622.26738585019</v>
      </c>
    </row>
    <row r="42" spans="1:14" s="355" customFormat="1" ht="10.199999999999999" x14ac:dyDescent="0.2">
      <c r="A42" s="366"/>
      <c r="B42" s="365" t="s">
        <v>135</v>
      </c>
      <c r="C42" s="364">
        <f t="shared" ref="C42:N42" si="9">C8+C14+C20+C26+C32+C35+C40</f>
        <v>204374.3</v>
      </c>
      <c r="D42" s="364">
        <f t="shared" si="9"/>
        <v>268287.8</v>
      </c>
      <c r="E42" s="364">
        <f t="shared" si="9"/>
        <v>253179.3</v>
      </c>
      <c r="F42" s="364">
        <f t="shared" si="9"/>
        <v>272551.19999999995</v>
      </c>
      <c r="G42" s="364">
        <f t="shared" si="9"/>
        <v>185680.4</v>
      </c>
      <c r="H42" s="364">
        <f t="shared" si="9"/>
        <v>242619.6</v>
      </c>
      <c r="I42" s="364">
        <f t="shared" si="9"/>
        <v>243620.5</v>
      </c>
      <c r="J42" s="364">
        <f t="shared" si="9"/>
        <v>-212369.59999999998</v>
      </c>
      <c r="K42" s="364">
        <f t="shared" si="9"/>
        <v>343716.14538584999</v>
      </c>
      <c r="L42" s="396">
        <f t="shared" si="9"/>
        <v>324579.09999999998</v>
      </c>
      <c r="M42" s="364">
        <f t="shared" si="9"/>
        <v>305236.12738585001</v>
      </c>
      <c r="N42" s="363">
        <f t="shared" si="9"/>
        <v>-137911.28261414997</v>
      </c>
    </row>
    <row r="43" spans="1:14" s="355" customFormat="1" ht="10.199999999999999" x14ac:dyDescent="0.2">
      <c r="A43" s="366"/>
      <c r="B43" s="365" t="s">
        <v>136</v>
      </c>
      <c r="C43" s="364">
        <f t="shared" ref="C43:N43" si="10">C9+C15+C21+C27+C36</f>
        <v>491402.19999999995</v>
      </c>
      <c r="D43" s="364">
        <f t="shared" si="10"/>
        <v>491154.6</v>
      </c>
      <c r="E43" s="364">
        <f t="shared" si="10"/>
        <v>506289.6</v>
      </c>
      <c r="F43" s="364">
        <f t="shared" si="10"/>
        <v>528789.30000000005</v>
      </c>
      <c r="G43" s="364">
        <f t="shared" si="10"/>
        <v>529879.4</v>
      </c>
      <c r="H43" s="364">
        <f t="shared" si="10"/>
        <v>544486.10000000009</v>
      </c>
      <c r="I43" s="364">
        <f t="shared" si="10"/>
        <v>566540.10000000009</v>
      </c>
      <c r="J43" s="364">
        <f t="shared" si="10"/>
        <v>583037.9</v>
      </c>
      <c r="K43" s="364">
        <f t="shared" si="10"/>
        <v>572921.39999999991</v>
      </c>
      <c r="L43" s="396">
        <f t="shared" si="10"/>
        <v>569425.80000000005</v>
      </c>
      <c r="M43" s="364">
        <f t="shared" si="10"/>
        <v>597160.15000000014</v>
      </c>
      <c r="N43" s="363">
        <f t="shared" si="10"/>
        <v>651641.60000000009</v>
      </c>
    </row>
    <row r="44" spans="1:14" s="355" customFormat="1" ht="10.199999999999999" x14ac:dyDescent="0.2">
      <c r="A44" s="366"/>
      <c r="B44" s="365" t="s">
        <v>154</v>
      </c>
      <c r="C44" s="364">
        <f t="shared" ref="C44:N44" si="11">C10+C16+C22+C28</f>
        <v>31417.699999999997</v>
      </c>
      <c r="D44" s="364">
        <f t="shared" si="11"/>
        <v>31032.699999999997</v>
      </c>
      <c r="E44" s="364">
        <f t="shared" si="11"/>
        <v>40712.699999999997</v>
      </c>
      <c r="F44" s="364">
        <f t="shared" si="11"/>
        <v>45878</v>
      </c>
      <c r="G44" s="364">
        <f t="shared" si="11"/>
        <v>44259.5</v>
      </c>
      <c r="H44" s="364">
        <f t="shared" si="11"/>
        <v>32401.5</v>
      </c>
      <c r="I44" s="364">
        <f t="shared" si="11"/>
        <v>41217.5</v>
      </c>
      <c r="J44" s="364">
        <f t="shared" si="11"/>
        <v>42742.7</v>
      </c>
      <c r="K44" s="364">
        <f t="shared" si="11"/>
        <v>42302.599999999991</v>
      </c>
      <c r="L44" s="396">
        <f t="shared" si="11"/>
        <v>40028.300000000003</v>
      </c>
      <c r="M44" s="364">
        <f t="shared" si="11"/>
        <v>43493.024999999994</v>
      </c>
      <c r="N44" s="363">
        <f t="shared" si="11"/>
        <v>56758.25</v>
      </c>
    </row>
    <row r="45" spans="1:14" s="355" customFormat="1" ht="10.199999999999999" x14ac:dyDescent="0.2">
      <c r="A45" s="366"/>
      <c r="B45" s="365" t="s">
        <v>155</v>
      </c>
      <c r="C45" s="364">
        <f t="shared" ref="C45:N45" si="12">C11+C17+C23+C29</f>
        <v>12623.6</v>
      </c>
      <c r="D45" s="364">
        <f t="shared" si="12"/>
        <v>13106.3</v>
      </c>
      <c r="E45" s="364">
        <f t="shared" si="12"/>
        <v>16031.3</v>
      </c>
      <c r="F45" s="364">
        <f t="shared" si="12"/>
        <v>17391.3</v>
      </c>
      <c r="G45" s="364">
        <f t="shared" si="12"/>
        <v>17949.7</v>
      </c>
      <c r="H45" s="364">
        <f t="shared" si="12"/>
        <v>11828.6</v>
      </c>
      <c r="I45" s="364">
        <f t="shared" si="12"/>
        <v>14458.6</v>
      </c>
      <c r="J45" s="364">
        <f t="shared" si="12"/>
        <v>16255.6</v>
      </c>
      <c r="K45" s="364">
        <f t="shared" si="12"/>
        <v>16872</v>
      </c>
      <c r="L45" s="396">
        <f t="shared" si="12"/>
        <v>16637.099999999999</v>
      </c>
      <c r="M45" s="364">
        <f t="shared" si="12"/>
        <v>17057.824999999997</v>
      </c>
      <c r="N45" s="363">
        <f t="shared" si="12"/>
        <v>22441.149999999998</v>
      </c>
    </row>
    <row r="46" spans="1:14" s="355" customFormat="1" ht="10.199999999999999" x14ac:dyDescent="0.2">
      <c r="A46" s="366"/>
      <c r="B46" s="365" t="s">
        <v>156</v>
      </c>
      <c r="C46" s="364">
        <f t="shared" ref="C46:N46" si="13">C12+C18+C24+C30+C37+C33</f>
        <v>10930.3</v>
      </c>
      <c r="D46" s="364">
        <f t="shared" si="13"/>
        <v>11080.3</v>
      </c>
      <c r="E46" s="364">
        <f t="shared" si="13"/>
        <v>11878.400000000001</v>
      </c>
      <c r="F46" s="364">
        <f t="shared" si="13"/>
        <v>11853.400000000001</v>
      </c>
      <c r="G46" s="364">
        <f t="shared" si="13"/>
        <v>11823.3</v>
      </c>
      <c r="H46" s="364">
        <f t="shared" si="13"/>
        <v>11626.2</v>
      </c>
      <c r="I46" s="364">
        <f t="shared" si="13"/>
        <v>11622.699999999999</v>
      </c>
      <c r="J46" s="364">
        <f t="shared" si="13"/>
        <v>13811.6</v>
      </c>
      <c r="K46" s="364">
        <f t="shared" si="13"/>
        <v>10247.285</v>
      </c>
      <c r="L46" s="396">
        <f t="shared" si="13"/>
        <v>10176.099999999999</v>
      </c>
      <c r="M46" s="364">
        <f t="shared" si="13"/>
        <v>10876.15</v>
      </c>
      <c r="N46" s="363">
        <f t="shared" si="13"/>
        <v>12692.55</v>
      </c>
    </row>
    <row r="47" spans="1:14" s="355" customFormat="1" ht="21" thickBot="1" x14ac:dyDescent="0.25">
      <c r="A47" s="362"/>
      <c r="B47" s="361" t="s">
        <v>161</v>
      </c>
      <c r="C47" s="360">
        <f t="shared" ref="C47:N47" si="14">C41-C39</f>
        <v>613212</v>
      </c>
      <c r="D47" s="360">
        <f t="shared" si="14"/>
        <v>613212.1</v>
      </c>
      <c r="E47" s="360">
        <f t="shared" si="14"/>
        <v>646212.09999999986</v>
      </c>
      <c r="F47" s="359">
        <f t="shared" si="14"/>
        <v>670212.10000000009</v>
      </c>
      <c r="G47" s="359">
        <f t="shared" si="14"/>
        <v>670212</v>
      </c>
      <c r="H47" s="359">
        <f t="shared" si="14"/>
        <v>664212</v>
      </c>
      <c r="I47" s="359">
        <f t="shared" si="14"/>
        <v>697712.3</v>
      </c>
      <c r="J47" s="359">
        <f t="shared" si="14"/>
        <v>717503.5</v>
      </c>
      <c r="K47" s="359">
        <f t="shared" si="14"/>
        <v>697421.23038584995</v>
      </c>
      <c r="L47" s="359">
        <f t="shared" si="14"/>
        <v>691338.8</v>
      </c>
      <c r="M47" s="359">
        <f t="shared" si="14"/>
        <v>725338.67738585023</v>
      </c>
      <c r="N47" s="358">
        <f t="shared" si="14"/>
        <v>800320.06738585024</v>
      </c>
    </row>
    <row r="48" spans="1:14" s="355" customFormat="1" ht="10.8" thickTop="1" x14ac:dyDescent="0.2">
      <c r="A48" s="357" t="s">
        <v>162</v>
      </c>
      <c r="B48" s="356"/>
      <c r="L48" s="400"/>
    </row>
    <row r="49" spans="1:12" s="355" customFormat="1" ht="10.199999999999999" x14ac:dyDescent="0.2">
      <c r="A49" s="357" t="s">
        <v>163</v>
      </c>
      <c r="B49" s="356"/>
      <c r="L49" s="400"/>
    </row>
    <row r="50" spans="1:12" s="355" customFormat="1" ht="10.199999999999999" x14ac:dyDescent="0.2">
      <c r="L50" s="400"/>
    </row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topLeftCell="A4" zoomScale="120" zoomScaleNormal="120" workbookViewId="0">
      <selection activeCell="I53" sqref="I53"/>
    </sheetView>
  </sheetViews>
  <sheetFormatPr defaultRowHeight="13.2" x14ac:dyDescent="0.25"/>
  <cols>
    <col min="1" max="1" width="6.33203125" style="354" customWidth="1"/>
    <col min="2" max="2" width="25" style="354" customWidth="1"/>
    <col min="3" max="11" width="10.33203125" style="354" customWidth="1"/>
    <col min="12" max="12" width="10.33203125" style="399" customWidth="1"/>
    <col min="1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180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179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f t="shared" ref="C7:N7" si="0">SUM(C8:C12)</f>
        <v>279591.52238585002</v>
      </c>
      <c r="D7" s="368">
        <f t="shared" si="0"/>
        <v>258591.52238585005</v>
      </c>
      <c r="E7" s="368">
        <f t="shared" si="0"/>
        <v>250591.52226090003</v>
      </c>
      <c r="F7" s="389">
        <f t="shared" si="0"/>
        <v>250591.52226090003</v>
      </c>
      <c r="G7" s="389">
        <f t="shared" si="0"/>
        <v>256591.52226089998</v>
      </c>
      <c r="H7" s="389">
        <f t="shared" si="0"/>
        <v>256591.52226089998</v>
      </c>
      <c r="I7" s="389">
        <f t="shared" si="0"/>
        <v>273591.5222609</v>
      </c>
      <c r="J7" s="389">
        <f t="shared" si="0"/>
        <v>285591.5</v>
      </c>
      <c r="K7" s="389">
        <f t="shared" si="0"/>
        <v>300591.5</v>
      </c>
      <c r="L7" s="389">
        <f t="shared" si="0"/>
        <v>325591.52226090006</v>
      </c>
      <c r="M7" s="389">
        <f t="shared" si="0"/>
        <v>335591.5222609</v>
      </c>
      <c r="N7" s="388">
        <f t="shared" si="0"/>
        <v>354508.04726089997</v>
      </c>
    </row>
    <row r="8" spans="1:14" s="355" customFormat="1" ht="10.199999999999999" x14ac:dyDescent="0.2">
      <c r="A8" s="366"/>
      <c r="B8" s="365" t="s">
        <v>135</v>
      </c>
      <c r="C8" s="364">
        <v>15473.322385850002</v>
      </c>
      <c r="D8" s="364">
        <v>13793.322385849999</v>
      </c>
      <c r="E8" s="364">
        <v>18643.3222609</v>
      </c>
      <c r="F8" s="364">
        <v>18643.3222609</v>
      </c>
      <c r="G8" s="364">
        <v>43999.222260899995</v>
      </c>
      <c r="H8" s="364">
        <v>36924.222260900002</v>
      </c>
      <c r="I8" s="364">
        <v>35774.222260900002</v>
      </c>
      <c r="J8" s="364">
        <v>63874.2</v>
      </c>
      <c r="K8" s="364">
        <v>48234.2</v>
      </c>
      <c r="L8" s="396">
        <v>46033.322260900008</v>
      </c>
      <c r="M8" s="364">
        <v>29723.322260900004</v>
      </c>
      <c r="N8" s="363">
        <v>15128.322260900002</v>
      </c>
    </row>
    <row r="9" spans="1:14" s="355" customFormat="1" ht="10.199999999999999" x14ac:dyDescent="0.2">
      <c r="A9" s="366"/>
      <c r="B9" s="365" t="s">
        <v>136</v>
      </c>
      <c r="C9" s="364">
        <v>235207.05000000002</v>
      </c>
      <c r="D9" s="364">
        <v>213303.85000000003</v>
      </c>
      <c r="E9" s="364">
        <v>202853.85000000003</v>
      </c>
      <c r="F9" s="364">
        <v>206153.85000000003</v>
      </c>
      <c r="G9" s="364">
        <v>191166.52499999999</v>
      </c>
      <c r="H9" s="364">
        <v>201366.52499999999</v>
      </c>
      <c r="I9" s="364">
        <v>217329.375</v>
      </c>
      <c r="J9" s="364">
        <v>202963.4</v>
      </c>
      <c r="K9" s="364">
        <v>232673.4</v>
      </c>
      <c r="L9" s="396">
        <v>259536.42500000002</v>
      </c>
      <c r="M9" s="364">
        <v>290062.2</v>
      </c>
      <c r="N9" s="363">
        <v>323987.72499999998</v>
      </c>
    </row>
    <row r="10" spans="1:14" s="355" customFormat="1" ht="10.199999999999999" x14ac:dyDescent="0.2">
      <c r="A10" s="366"/>
      <c r="B10" s="365" t="s">
        <v>154</v>
      </c>
      <c r="C10" s="364">
        <v>19753.55</v>
      </c>
      <c r="D10" s="364">
        <v>22006.75</v>
      </c>
      <c r="E10" s="364">
        <v>20336.75</v>
      </c>
      <c r="F10" s="364">
        <v>16526.75</v>
      </c>
      <c r="G10" s="364">
        <v>17010.774999999998</v>
      </c>
      <c r="H10" s="364">
        <v>14860.774999999998</v>
      </c>
      <c r="I10" s="364">
        <v>15327.924999999999</v>
      </c>
      <c r="J10" s="364">
        <v>14927.9</v>
      </c>
      <c r="K10" s="364">
        <v>14747.9</v>
      </c>
      <c r="L10" s="396">
        <v>15000.774999999998</v>
      </c>
      <c r="M10" s="364">
        <v>11470</v>
      </c>
      <c r="N10" s="363">
        <v>10760</v>
      </c>
    </row>
    <row r="11" spans="1:14" s="355" customFormat="1" ht="10.199999999999999" x14ac:dyDescent="0.2">
      <c r="A11" s="366"/>
      <c r="B11" s="365" t="s">
        <v>155</v>
      </c>
      <c r="C11" s="364">
        <v>8877.6</v>
      </c>
      <c r="D11" s="364">
        <v>8967.6</v>
      </c>
      <c r="E11" s="364">
        <v>8477.6</v>
      </c>
      <c r="F11" s="364">
        <v>8692.6</v>
      </c>
      <c r="G11" s="364">
        <v>4030</v>
      </c>
      <c r="H11" s="364">
        <v>2855</v>
      </c>
      <c r="I11" s="364">
        <v>4630</v>
      </c>
      <c r="J11" s="364">
        <v>3626</v>
      </c>
      <c r="K11" s="364">
        <v>4436</v>
      </c>
      <c r="L11" s="396">
        <v>4521</v>
      </c>
      <c r="M11" s="364">
        <v>4136</v>
      </c>
      <c r="N11" s="363">
        <v>4132</v>
      </c>
    </row>
    <row r="12" spans="1:14" s="355" customFormat="1" ht="10.199999999999999" x14ac:dyDescent="0.2">
      <c r="A12" s="366"/>
      <c r="B12" s="365" t="s">
        <v>156</v>
      </c>
      <c r="C12" s="364">
        <v>280</v>
      </c>
      <c r="D12" s="364">
        <v>520</v>
      </c>
      <c r="E12" s="364">
        <v>280</v>
      </c>
      <c r="F12" s="364">
        <v>575</v>
      </c>
      <c r="G12" s="364">
        <v>385</v>
      </c>
      <c r="H12" s="364">
        <v>585</v>
      </c>
      <c r="I12" s="364">
        <v>530</v>
      </c>
      <c r="J12" s="364">
        <v>200</v>
      </c>
      <c r="K12" s="364">
        <v>500</v>
      </c>
      <c r="L12" s="396">
        <v>500</v>
      </c>
      <c r="M12" s="364">
        <v>200</v>
      </c>
      <c r="N12" s="363">
        <v>500</v>
      </c>
    </row>
    <row r="13" spans="1:14" s="355" customFormat="1" ht="10.199999999999999" x14ac:dyDescent="0.2">
      <c r="A13" s="370">
        <v>2</v>
      </c>
      <c r="B13" s="369" t="s">
        <v>112</v>
      </c>
      <c r="C13" s="368">
        <f t="shared" ref="C13:N13" si="1">SUM(C14:C18)</f>
        <v>513947.00000000012</v>
      </c>
      <c r="D13" s="368">
        <f t="shared" si="1"/>
        <v>513947.00000000012</v>
      </c>
      <c r="E13" s="368">
        <f t="shared" si="1"/>
        <v>513947.00000000012</v>
      </c>
      <c r="F13" s="368">
        <f t="shared" si="1"/>
        <v>513947.00000000012</v>
      </c>
      <c r="G13" s="368">
        <f t="shared" si="1"/>
        <v>513947.00000000012</v>
      </c>
      <c r="H13" s="368">
        <f t="shared" si="1"/>
        <v>513947.00000000012</v>
      </c>
      <c r="I13" s="368">
        <f t="shared" si="1"/>
        <v>543447.00000000023</v>
      </c>
      <c r="J13" s="368">
        <f t="shared" si="1"/>
        <v>568446.99999999988</v>
      </c>
      <c r="K13" s="368">
        <f t="shared" si="1"/>
        <v>568446.99999999988</v>
      </c>
      <c r="L13" s="389">
        <f t="shared" si="1"/>
        <v>562447.00000000012</v>
      </c>
      <c r="M13" s="368">
        <f t="shared" si="1"/>
        <v>592447.00000000012</v>
      </c>
      <c r="N13" s="367">
        <f t="shared" si="1"/>
        <v>620447.00000000035</v>
      </c>
    </row>
    <row r="14" spans="1:14" s="355" customFormat="1" ht="10.199999999999999" x14ac:dyDescent="0.2">
      <c r="A14" s="366"/>
      <c r="B14" s="365" t="s">
        <v>135</v>
      </c>
      <c r="C14" s="364">
        <v>41129.025000000001</v>
      </c>
      <c r="D14" s="364">
        <v>41129.025000000001</v>
      </c>
      <c r="E14" s="364">
        <v>41129.025000000001</v>
      </c>
      <c r="F14" s="364">
        <v>41129.025000000001</v>
      </c>
      <c r="G14" s="364">
        <v>41129.025000000001</v>
      </c>
      <c r="H14" s="364">
        <v>41129.025000000001</v>
      </c>
      <c r="I14" s="364">
        <v>41129.025000000001</v>
      </c>
      <c r="J14" s="364">
        <v>41129</v>
      </c>
      <c r="K14" s="364">
        <v>41129</v>
      </c>
      <c r="L14" s="396">
        <v>37379.024999999994</v>
      </c>
      <c r="M14" s="364">
        <v>35257.025000000001</v>
      </c>
      <c r="N14" s="363">
        <v>33457.025000000001</v>
      </c>
    </row>
    <row r="15" spans="1:14" s="355" customFormat="1" ht="10.199999999999999" x14ac:dyDescent="0.2">
      <c r="A15" s="366"/>
      <c r="B15" s="365" t="s">
        <v>136</v>
      </c>
      <c r="C15" s="364">
        <v>417239.5500000001</v>
      </c>
      <c r="D15" s="364">
        <v>417239.5500000001</v>
      </c>
      <c r="E15" s="364">
        <v>417239.5500000001</v>
      </c>
      <c r="F15" s="364">
        <v>417239.5500000001</v>
      </c>
      <c r="G15" s="364">
        <v>417239.5500000001</v>
      </c>
      <c r="H15" s="364">
        <v>417239.5500000001</v>
      </c>
      <c r="I15" s="364">
        <v>443371.72500000009</v>
      </c>
      <c r="J15" s="364">
        <v>462233.7</v>
      </c>
      <c r="K15" s="364">
        <v>462233.7</v>
      </c>
      <c r="L15" s="396">
        <v>460011.92500000005</v>
      </c>
      <c r="M15" s="364">
        <v>482119.8000000001</v>
      </c>
      <c r="N15" s="363">
        <v>504842.47500000027</v>
      </c>
    </row>
    <row r="16" spans="1:14" s="355" customFormat="1" ht="10.199999999999999" x14ac:dyDescent="0.2">
      <c r="A16" s="366"/>
      <c r="B16" s="365" t="s">
        <v>154</v>
      </c>
      <c r="C16" s="364">
        <v>37694.699999999997</v>
      </c>
      <c r="D16" s="364">
        <v>37694.699999999997</v>
      </c>
      <c r="E16" s="364">
        <v>37694.699999999997</v>
      </c>
      <c r="F16" s="364">
        <v>37694.699999999997</v>
      </c>
      <c r="G16" s="364">
        <v>37694.699999999997</v>
      </c>
      <c r="H16" s="364">
        <v>38114.699999999997</v>
      </c>
      <c r="I16" s="364">
        <v>41032.524999999994</v>
      </c>
      <c r="J16" s="364">
        <v>45292.5</v>
      </c>
      <c r="K16" s="364">
        <v>45292.5</v>
      </c>
      <c r="L16" s="396">
        <v>45272.524999999994</v>
      </c>
      <c r="M16" s="364">
        <v>53095.424999999996</v>
      </c>
      <c r="N16" s="363">
        <v>58225.424999999996</v>
      </c>
    </row>
    <row r="17" spans="1:14" s="355" customFormat="1" ht="10.199999999999999" x14ac:dyDescent="0.2">
      <c r="A17" s="366"/>
      <c r="B17" s="365" t="s">
        <v>155</v>
      </c>
      <c r="C17" s="364">
        <v>12158.55</v>
      </c>
      <c r="D17" s="364">
        <v>12158.55</v>
      </c>
      <c r="E17" s="364">
        <v>12158.55</v>
      </c>
      <c r="F17" s="364">
        <v>12158.55</v>
      </c>
      <c r="G17" s="364">
        <v>12158.55</v>
      </c>
      <c r="H17" s="364">
        <v>11738.55</v>
      </c>
      <c r="I17" s="364">
        <v>12088.55</v>
      </c>
      <c r="J17" s="364">
        <v>13966.6</v>
      </c>
      <c r="K17" s="364">
        <v>13966.6</v>
      </c>
      <c r="L17" s="396">
        <v>13966.55</v>
      </c>
      <c r="M17" s="364">
        <v>16142.775</v>
      </c>
      <c r="N17" s="363">
        <v>18050.400000000001</v>
      </c>
    </row>
    <row r="18" spans="1:14" s="355" customFormat="1" ht="10.199999999999999" x14ac:dyDescent="0.2">
      <c r="A18" s="366"/>
      <c r="B18" s="365" t="s">
        <v>140</v>
      </c>
      <c r="C18" s="364">
        <v>5725.1749999999993</v>
      </c>
      <c r="D18" s="364">
        <v>5725.1749999999993</v>
      </c>
      <c r="E18" s="364">
        <v>5725.1749999999993</v>
      </c>
      <c r="F18" s="364">
        <v>5725.1749999999993</v>
      </c>
      <c r="G18" s="364">
        <v>5725.1749999999993</v>
      </c>
      <c r="H18" s="364">
        <v>5725.1749999999993</v>
      </c>
      <c r="I18" s="364">
        <v>5825.1749999999993</v>
      </c>
      <c r="J18" s="364">
        <v>5825.2</v>
      </c>
      <c r="K18" s="364">
        <v>5825.2</v>
      </c>
      <c r="L18" s="396">
        <v>5816.9750000000004</v>
      </c>
      <c r="M18" s="364">
        <v>5831.9750000000004</v>
      </c>
      <c r="N18" s="363">
        <v>5871.6750000000002</v>
      </c>
    </row>
    <row r="19" spans="1:14" s="355" customFormat="1" ht="10.199999999999999" x14ac:dyDescent="0.2">
      <c r="A19" s="370">
        <v>3</v>
      </c>
      <c r="B19" s="369" t="s">
        <v>113</v>
      </c>
      <c r="C19" s="368">
        <f t="shared" ref="C19:N19" si="2">SUM(C20:C24)</f>
        <v>0</v>
      </c>
      <c r="D19" s="368">
        <f t="shared" si="2"/>
        <v>0</v>
      </c>
      <c r="E19" s="368">
        <f t="shared" si="2"/>
        <v>0</v>
      </c>
      <c r="F19" s="368">
        <f t="shared" si="2"/>
        <v>0</v>
      </c>
      <c r="G19" s="368">
        <f t="shared" si="2"/>
        <v>0</v>
      </c>
      <c r="H19" s="368">
        <f t="shared" si="2"/>
        <v>0</v>
      </c>
      <c r="I19" s="368">
        <f t="shared" si="2"/>
        <v>0</v>
      </c>
      <c r="J19" s="368">
        <f t="shared" si="2"/>
        <v>0</v>
      </c>
      <c r="K19" s="368">
        <f t="shared" si="2"/>
        <v>0</v>
      </c>
      <c r="L19" s="389">
        <f t="shared" si="2"/>
        <v>0</v>
      </c>
      <c r="M19" s="368">
        <f t="shared" si="2"/>
        <v>0</v>
      </c>
      <c r="N19" s="367">
        <f t="shared" si="2"/>
        <v>0</v>
      </c>
    </row>
    <row r="20" spans="1:14" s="355" customFormat="1" ht="10.199999999999999" x14ac:dyDescent="0.2">
      <c r="A20" s="366"/>
      <c r="B20" s="365" t="s">
        <v>135</v>
      </c>
      <c r="C20" s="364">
        <v>0</v>
      </c>
      <c r="D20" s="364">
        <v>0</v>
      </c>
      <c r="E20" s="364">
        <v>0</v>
      </c>
      <c r="F20" s="364">
        <v>0</v>
      </c>
      <c r="G20" s="364">
        <v>0</v>
      </c>
      <c r="H20" s="364">
        <v>0</v>
      </c>
      <c r="I20" s="364">
        <v>0</v>
      </c>
      <c r="J20" s="364">
        <v>0</v>
      </c>
      <c r="K20" s="364">
        <v>0</v>
      </c>
      <c r="L20" s="396">
        <v>0</v>
      </c>
      <c r="M20" s="364">
        <v>0</v>
      </c>
      <c r="N20" s="363">
        <v>0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64">
        <v>0</v>
      </c>
      <c r="K21" s="364">
        <v>0</v>
      </c>
      <c r="L21" s="396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64">
        <v>0</v>
      </c>
      <c r="K22" s="364">
        <v>0</v>
      </c>
      <c r="L22" s="396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64">
        <v>0</v>
      </c>
      <c r="K23" s="364">
        <v>0</v>
      </c>
      <c r="L23" s="396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0</v>
      </c>
      <c r="D24" s="364">
        <v>0</v>
      </c>
      <c r="E24" s="364">
        <v>0</v>
      </c>
      <c r="F24" s="364">
        <v>0</v>
      </c>
      <c r="G24" s="364">
        <v>0</v>
      </c>
      <c r="H24" s="364">
        <v>0</v>
      </c>
      <c r="I24" s="364">
        <v>0</v>
      </c>
      <c r="J24" s="364">
        <v>0</v>
      </c>
      <c r="K24" s="364">
        <v>0</v>
      </c>
      <c r="L24" s="396">
        <v>0</v>
      </c>
      <c r="M24" s="364">
        <v>0</v>
      </c>
      <c r="N24" s="363">
        <v>0</v>
      </c>
    </row>
    <row r="25" spans="1:14" s="355" customFormat="1" ht="10.199999999999999" x14ac:dyDescent="0.2">
      <c r="A25" s="370">
        <v>4</v>
      </c>
      <c r="B25" s="369" t="s">
        <v>114</v>
      </c>
      <c r="C25" s="368">
        <f t="shared" ref="C25:N25" si="3">SUM(C26:C30)</f>
        <v>6595.8899999999994</v>
      </c>
      <c r="D25" s="368">
        <f t="shared" si="3"/>
        <v>6595.89</v>
      </c>
      <c r="E25" s="368">
        <f t="shared" si="3"/>
        <v>6595.8900000000012</v>
      </c>
      <c r="F25" s="368">
        <f t="shared" si="3"/>
        <v>6595.89</v>
      </c>
      <c r="G25" s="368">
        <f t="shared" si="3"/>
        <v>6595.89</v>
      </c>
      <c r="H25" s="368">
        <f t="shared" si="3"/>
        <v>6595.89</v>
      </c>
      <c r="I25" s="368">
        <f t="shared" si="3"/>
        <v>6595.89</v>
      </c>
      <c r="J25" s="389">
        <f t="shared" si="3"/>
        <v>6391.41</v>
      </c>
      <c r="K25" s="368">
        <f t="shared" si="3"/>
        <v>7360.9</v>
      </c>
      <c r="L25" s="389">
        <f t="shared" si="3"/>
        <v>7360.7999999999993</v>
      </c>
      <c r="M25" s="368">
        <f t="shared" si="3"/>
        <v>7279.57</v>
      </c>
      <c r="N25" s="367">
        <f t="shared" si="3"/>
        <v>9140</v>
      </c>
    </row>
    <row r="26" spans="1:14" s="355" customFormat="1" ht="10.199999999999999" x14ac:dyDescent="0.2">
      <c r="A26" s="366"/>
      <c r="B26" s="365" t="s">
        <v>141</v>
      </c>
      <c r="C26" s="364">
        <v>181.17000000000002</v>
      </c>
      <c r="D26" s="364">
        <v>183.77000000000004</v>
      </c>
      <c r="E26" s="364">
        <v>195.27</v>
      </c>
      <c r="F26" s="364">
        <v>552.62</v>
      </c>
      <c r="G26" s="364">
        <v>435.291</v>
      </c>
      <c r="H26" s="364">
        <v>776.87</v>
      </c>
      <c r="I26" s="364">
        <v>840.6</v>
      </c>
      <c r="J26" s="396">
        <v>882.01</v>
      </c>
      <c r="K26" s="364">
        <v>1492.6</v>
      </c>
      <c r="L26" s="396">
        <v>1572.23</v>
      </c>
      <c r="M26" s="364">
        <v>2430.19</v>
      </c>
      <c r="N26" s="363">
        <v>3001.3799999999997</v>
      </c>
    </row>
    <row r="27" spans="1:14" s="355" customFormat="1" ht="10.199999999999999" x14ac:dyDescent="0.2">
      <c r="A27" s="366"/>
      <c r="B27" s="365" t="s">
        <v>136</v>
      </c>
      <c r="C27" s="364">
        <v>0</v>
      </c>
      <c r="D27" s="364">
        <v>0</v>
      </c>
      <c r="E27" s="364">
        <v>0</v>
      </c>
      <c r="F27" s="364">
        <v>0</v>
      </c>
      <c r="G27" s="364">
        <v>0</v>
      </c>
      <c r="H27" s="364">
        <v>0</v>
      </c>
      <c r="I27" s="364">
        <v>0</v>
      </c>
      <c r="J27" s="396">
        <v>0</v>
      </c>
      <c r="K27" s="364">
        <v>0</v>
      </c>
      <c r="L27" s="396">
        <v>0</v>
      </c>
      <c r="M27" s="364">
        <v>0</v>
      </c>
      <c r="N27" s="363">
        <v>0</v>
      </c>
    </row>
    <row r="28" spans="1:14" s="355" customFormat="1" ht="10.199999999999999" x14ac:dyDescent="0.2">
      <c r="A28" s="366"/>
      <c r="B28" s="365" t="s">
        <v>154</v>
      </c>
      <c r="C28" s="364">
        <v>0</v>
      </c>
      <c r="D28" s="364">
        <v>0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  <c r="J28" s="396">
        <v>0</v>
      </c>
      <c r="K28" s="364">
        <v>0</v>
      </c>
      <c r="L28" s="396">
        <v>0</v>
      </c>
      <c r="M28" s="364">
        <v>0</v>
      </c>
      <c r="N28" s="363">
        <v>0</v>
      </c>
    </row>
    <row r="29" spans="1:14" s="355" customFormat="1" ht="10.199999999999999" x14ac:dyDescent="0.2">
      <c r="A29" s="366"/>
      <c r="B29" s="365" t="s">
        <v>155</v>
      </c>
      <c r="C29" s="364">
        <v>0</v>
      </c>
      <c r="D29" s="364">
        <v>0</v>
      </c>
      <c r="E29" s="364">
        <v>0</v>
      </c>
      <c r="F29" s="364">
        <v>0</v>
      </c>
      <c r="G29" s="364">
        <v>0</v>
      </c>
      <c r="H29" s="364">
        <v>0</v>
      </c>
      <c r="I29" s="364">
        <v>0</v>
      </c>
      <c r="J29" s="396">
        <v>0</v>
      </c>
      <c r="K29" s="364">
        <v>0</v>
      </c>
      <c r="L29" s="396">
        <v>0</v>
      </c>
      <c r="M29" s="364">
        <v>0</v>
      </c>
      <c r="N29" s="363">
        <v>0</v>
      </c>
    </row>
    <row r="30" spans="1:14" s="355" customFormat="1" ht="10.199999999999999" x14ac:dyDescent="0.2">
      <c r="A30" s="366"/>
      <c r="B30" s="365" t="s">
        <v>156</v>
      </c>
      <c r="C30" s="364">
        <v>6414.7199999999993</v>
      </c>
      <c r="D30" s="364">
        <v>6412.12</v>
      </c>
      <c r="E30" s="364">
        <v>6400.6200000000008</v>
      </c>
      <c r="F30" s="364">
        <v>6043.27</v>
      </c>
      <c r="G30" s="364">
        <v>6160.5990000000002</v>
      </c>
      <c r="H30" s="364">
        <v>5819.02</v>
      </c>
      <c r="I30" s="364">
        <v>5755.29</v>
      </c>
      <c r="J30" s="396">
        <v>5509.4</v>
      </c>
      <c r="K30" s="364">
        <v>5868.2999999999993</v>
      </c>
      <c r="L30" s="396">
        <v>5788.57</v>
      </c>
      <c r="M30" s="364">
        <v>4849.38</v>
      </c>
      <c r="N30" s="363">
        <v>6138.62</v>
      </c>
    </row>
    <row r="31" spans="1:14" s="355" customFormat="1" ht="10.199999999999999" x14ac:dyDescent="0.2">
      <c r="A31" s="370">
        <v>5</v>
      </c>
      <c r="B31" s="369" t="s">
        <v>157</v>
      </c>
      <c r="C31" s="386">
        <f t="shared" ref="C31:N31" si="4">SUM(C32:C33)</f>
        <v>185.655</v>
      </c>
      <c r="D31" s="386">
        <f t="shared" si="4"/>
        <v>185.655</v>
      </c>
      <c r="E31" s="386">
        <f t="shared" si="4"/>
        <v>185.655</v>
      </c>
      <c r="F31" s="386">
        <f t="shared" si="4"/>
        <v>185.655</v>
      </c>
      <c r="G31" s="386">
        <f t="shared" si="4"/>
        <v>1116.7907087070103</v>
      </c>
      <c r="H31" s="386">
        <f t="shared" si="4"/>
        <v>185.655</v>
      </c>
      <c r="I31" s="386">
        <f t="shared" si="4"/>
        <v>185.655</v>
      </c>
      <c r="J31" s="386">
        <f t="shared" si="4"/>
        <v>143.4</v>
      </c>
      <c r="K31" s="386">
        <f t="shared" si="4"/>
        <v>135.9</v>
      </c>
      <c r="L31" s="386">
        <f t="shared" si="4"/>
        <v>133.51999999999998</v>
      </c>
      <c r="M31" s="386">
        <f t="shared" si="4"/>
        <v>133.52000000000001</v>
      </c>
      <c r="N31" s="385">
        <f t="shared" si="4"/>
        <v>190.20000000000002</v>
      </c>
    </row>
    <row r="32" spans="1:14" s="355" customFormat="1" ht="10.199999999999999" x14ac:dyDescent="0.2">
      <c r="A32" s="366"/>
      <c r="B32" s="365" t="s">
        <v>135</v>
      </c>
      <c r="C32" s="383">
        <v>3</v>
      </c>
      <c r="D32" s="383">
        <v>3</v>
      </c>
      <c r="E32" s="383">
        <v>3</v>
      </c>
      <c r="F32" s="383">
        <v>3</v>
      </c>
      <c r="G32" s="383">
        <v>3</v>
      </c>
      <c r="H32" s="383">
        <v>3</v>
      </c>
      <c r="I32" s="383">
        <v>3</v>
      </c>
      <c r="J32" s="397">
        <v>3</v>
      </c>
      <c r="K32" s="397">
        <v>3</v>
      </c>
      <c r="L32" s="397">
        <v>3</v>
      </c>
      <c r="M32" s="383">
        <v>5</v>
      </c>
      <c r="N32" s="382">
        <v>3</v>
      </c>
    </row>
    <row r="33" spans="1:14" s="355" customFormat="1" ht="10.199999999999999" x14ac:dyDescent="0.2">
      <c r="A33" s="366"/>
      <c r="B33" s="365" t="s">
        <v>158</v>
      </c>
      <c r="C33" s="364">
        <v>182.655</v>
      </c>
      <c r="D33" s="364">
        <v>182.655</v>
      </c>
      <c r="E33" s="364">
        <v>182.655</v>
      </c>
      <c r="F33" s="364">
        <v>182.655</v>
      </c>
      <c r="G33" s="364">
        <v>1113.7907087070103</v>
      </c>
      <c r="H33" s="364">
        <v>182.655</v>
      </c>
      <c r="I33" s="364">
        <v>182.655</v>
      </c>
      <c r="J33" s="396">
        <v>140.4</v>
      </c>
      <c r="K33" s="396">
        <v>132.9</v>
      </c>
      <c r="L33" s="396">
        <v>130.51999999999998</v>
      </c>
      <c r="M33" s="364">
        <v>128.52000000000001</v>
      </c>
      <c r="N33" s="363">
        <v>187.20000000000002</v>
      </c>
    </row>
    <row r="34" spans="1:14" s="373" customFormat="1" ht="10.199999999999999" hidden="1" x14ac:dyDescent="0.2">
      <c r="A34" s="381">
        <v>6</v>
      </c>
      <c r="B34" s="380" t="s">
        <v>115</v>
      </c>
      <c r="C34" s="379">
        <f t="shared" ref="C34:K34" si="5">SUM(C35:C37)</f>
        <v>0</v>
      </c>
      <c r="D34" s="379">
        <f t="shared" si="5"/>
        <v>0</v>
      </c>
      <c r="E34" s="379">
        <f t="shared" si="5"/>
        <v>0</v>
      </c>
      <c r="F34" s="379">
        <f t="shared" si="5"/>
        <v>0</v>
      </c>
      <c r="G34" s="379">
        <f t="shared" si="5"/>
        <v>0</v>
      </c>
      <c r="H34" s="379">
        <f t="shared" si="5"/>
        <v>0</v>
      </c>
      <c r="I34" s="379">
        <f t="shared" si="5"/>
        <v>0</v>
      </c>
      <c r="J34" s="379">
        <f t="shared" si="5"/>
        <v>0</v>
      </c>
      <c r="K34" s="379">
        <f t="shared" si="5"/>
        <v>0</v>
      </c>
      <c r="L34" s="389">
        <v>0</v>
      </c>
      <c r="M34" s="379">
        <v>0</v>
      </c>
      <c r="N34" s="378"/>
    </row>
    <row r="35" spans="1:14" s="373" customFormat="1" ht="10.199999999999999" hidden="1" x14ac:dyDescent="0.2">
      <c r="A35" s="377"/>
      <c r="B35" s="376" t="s">
        <v>135</v>
      </c>
      <c r="C35" s="375">
        <v>0</v>
      </c>
      <c r="D35" s="375">
        <v>0</v>
      </c>
      <c r="E35" s="375">
        <v>0</v>
      </c>
      <c r="F35" s="375">
        <v>0</v>
      </c>
      <c r="G35" s="375">
        <v>0</v>
      </c>
      <c r="H35" s="375">
        <v>0</v>
      </c>
      <c r="I35" s="375">
        <v>0</v>
      </c>
      <c r="J35" s="375">
        <v>0</v>
      </c>
      <c r="K35" s="375">
        <v>0</v>
      </c>
      <c r="L35" s="396">
        <v>0</v>
      </c>
      <c r="M35" s="375">
        <v>0</v>
      </c>
      <c r="N35" s="398">
        <v>0</v>
      </c>
    </row>
    <row r="36" spans="1:14" s="373" customFormat="1" ht="10.199999999999999" hidden="1" x14ac:dyDescent="0.2">
      <c r="A36" s="377"/>
      <c r="B36" s="376" t="s">
        <v>159</v>
      </c>
      <c r="C36" s="375">
        <v>0</v>
      </c>
      <c r="D36" s="375">
        <v>0</v>
      </c>
      <c r="E36" s="375">
        <v>0</v>
      </c>
      <c r="F36" s="375">
        <v>0</v>
      </c>
      <c r="G36" s="375">
        <v>0</v>
      </c>
      <c r="H36" s="375">
        <v>0</v>
      </c>
      <c r="I36" s="375">
        <v>0</v>
      </c>
      <c r="J36" s="375">
        <v>0</v>
      </c>
      <c r="K36" s="375">
        <v>0</v>
      </c>
      <c r="L36" s="396">
        <v>0</v>
      </c>
      <c r="M36" s="375">
        <v>0</v>
      </c>
      <c r="N36" s="398">
        <v>0</v>
      </c>
    </row>
    <row r="37" spans="1:14" s="373" customFormat="1" ht="10.199999999999999" hidden="1" x14ac:dyDescent="0.2">
      <c r="A37" s="377"/>
      <c r="B37" s="376" t="s">
        <v>140</v>
      </c>
      <c r="C37" s="375">
        <v>0</v>
      </c>
      <c r="D37" s="375">
        <v>0</v>
      </c>
      <c r="E37" s="375">
        <v>0</v>
      </c>
      <c r="F37" s="375">
        <v>0</v>
      </c>
      <c r="G37" s="375">
        <v>0</v>
      </c>
      <c r="H37" s="375">
        <v>0</v>
      </c>
      <c r="I37" s="375">
        <v>0</v>
      </c>
      <c r="J37" s="375">
        <v>0</v>
      </c>
      <c r="K37" s="375">
        <v>0</v>
      </c>
      <c r="L37" s="396">
        <v>0</v>
      </c>
      <c r="M37" s="375">
        <v>0</v>
      </c>
      <c r="N37" s="398">
        <v>0</v>
      </c>
    </row>
    <row r="38" spans="1:14" s="355" customFormat="1" ht="10.199999999999999" x14ac:dyDescent="0.2">
      <c r="A38" s="370"/>
      <c r="B38" s="369" t="s">
        <v>147</v>
      </c>
      <c r="C38" s="368">
        <f t="shared" ref="C38:N38" si="6">+C7+C13+C19+C25+C31</f>
        <v>800320.06738585012</v>
      </c>
      <c r="D38" s="368">
        <f t="shared" si="6"/>
        <v>779320.06738585024</v>
      </c>
      <c r="E38" s="368">
        <f t="shared" si="6"/>
        <v>771320.06726090016</v>
      </c>
      <c r="F38" s="368">
        <f t="shared" si="6"/>
        <v>771320.06726090016</v>
      </c>
      <c r="G38" s="368">
        <f t="shared" si="6"/>
        <v>778251.2029696072</v>
      </c>
      <c r="H38" s="368">
        <f t="shared" si="6"/>
        <v>777320.06726090016</v>
      </c>
      <c r="I38" s="368">
        <f t="shared" si="6"/>
        <v>823820.06726090028</v>
      </c>
      <c r="J38" s="368">
        <f t="shared" si="6"/>
        <v>860573.30999999994</v>
      </c>
      <c r="K38" s="368">
        <f t="shared" si="6"/>
        <v>876535.29999999993</v>
      </c>
      <c r="L38" s="368">
        <f t="shared" si="6"/>
        <v>895532.84226090019</v>
      </c>
      <c r="M38" s="368">
        <f t="shared" si="6"/>
        <v>935451.61226090009</v>
      </c>
      <c r="N38" s="368">
        <f t="shared" si="6"/>
        <v>984285.24726090021</v>
      </c>
    </row>
    <row r="39" spans="1:14" s="355" customFormat="1" ht="10.199999999999999" x14ac:dyDescent="0.2">
      <c r="A39" s="370">
        <v>7</v>
      </c>
      <c r="B39" s="369" t="s">
        <v>166</v>
      </c>
      <c r="C39" s="389">
        <f t="shared" ref="C39:N39" si="7">C40</f>
        <v>137536.1</v>
      </c>
      <c r="D39" s="389">
        <f t="shared" si="7"/>
        <v>201449.60000000001</v>
      </c>
      <c r="E39" s="389">
        <f t="shared" si="7"/>
        <v>181879.2</v>
      </c>
      <c r="F39" s="389">
        <f t="shared" si="7"/>
        <v>206251.09999999998</v>
      </c>
      <c r="G39" s="389">
        <f t="shared" si="7"/>
        <v>119380.3</v>
      </c>
      <c r="H39" s="389">
        <f t="shared" si="7"/>
        <v>178750</v>
      </c>
      <c r="I39" s="389">
        <f t="shared" si="7"/>
        <v>179747.1</v>
      </c>
      <c r="J39" s="389">
        <f t="shared" si="7"/>
        <v>-274025.3</v>
      </c>
      <c r="K39" s="389">
        <f t="shared" si="7"/>
        <v>288638.2</v>
      </c>
      <c r="L39" s="389">
        <f t="shared" si="7"/>
        <v>269507.59999999998</v>
      </c>
      <c r="M39" s="389">
        <f t="shared" si="7"/>
        <v>248484.6</v>
      </c>
      <c r="N39" s="388">
        <f t="shared" si="7"/>
        <v>-227694.3</v>
      </c>
    </row>
    <row r="40" spans="1:14" s="355" customFormat="1" ht="10.199999999999999" x14ac:dyDescent="0.2">
      <c r="A40" s="366"/>
      <c r="B40" s="365" t="s">
        <v>167</v>
      </c>
      <c r="C40" s="372">
        <v>137536.1</v>
      </c>
      <c r="D40" s="372">
        <v>201449.60000000001</v>
      </c>
      <c r="E40" s="372">
        <v>181879.2</v>
      </c>
      <c r="F40" s="372">
        <v>206251.09999999998</v>
      </c>
      <c r="G40" s="372">
        <v>119380.3</v>
      </c>
      <c r="H40" s="372">
        <v>178750</v>
      </c>
      <c r="I40" s="372">
        <v>179747.1</v>
      </c>
      <c r="J40" s="372">
        <v>-274025.3</v>
      </c>
      <c r="K40" s="372">
        <v>288638.2</v>
      </c>
      <c r="L40" s="372">
        <v>269507.59999999998</v>
      </c>
      <c r="M40" s="372">
        <v>248484.6</v>
      </c>
      <c r="N40" s="371">
        <v>-227694.3</v>
      </c>
    </row>
    <row r="41" spans="1:14" s="355" customFormat="1" ht="10.199999999999999" x14ac:dyDescent="0.2">
      <c r="A41" s="370"/>
      <c r="B41" s="369" t="s">
        <v>147</v>
      </c>
      <c r="C41" s="368">
        <f t="shared" ref="C41:N41" si="8">SUM(C42:C46)</f>
        <v>937856.16738585022</v>
      </c>
      <c r="D41" s="368">
        <f t="shared" si="8"/>
        <v>980769.6673858501</v>
      </c>
      <c r="E41" s="368">
        <f t="shared" si="8"/>
        <v>953199.26726090012</v>
      </c>
      <c r="F41" s="368">
        <f t="shared" si="8"/>
        <v>977571.16726090014</v>
      </c>
      <c r="G41" s="368">
        <f t="shared" si="8"/>
        <v>897631.50296960713</v>
      </c>
      <c r="H41" s="368">
        <f t="shared" si="8"/>
        <v>956070.06726090005</v>
      </c>
      <c r="I41" s="368">
        <f t="shared" si="8"/>
        <v>1003567.1672609001</v>
      </c>
      <c r="J41" s="368">
        <f t="shared" si="8"/>
        <v>586548.01</v>
      </c>
      <c r="K41" s="368">
        <f t="shared" si="8"/>
        <v>1165173.5</v>
      </c>
      <c r="L41" s="389">
        <f t="shared" si="8"/>
        <v>1165040.4422609</v>
      </c>
      <c r="M41" s="368">
        <f t="shared" si="8"/>
        <v>1183936.2122609001</v>
      </c>
      <c r="N41" s="367">
        <f t="shared" si="8"/>
        <v>756590.94726090017</v>
      </c>
    </row>
    <row r="42" spans="1:14" s="355" customFormat="1" ht="10.199999999999999" x14ac:dyDescent="0.2">
      <c r="A42" s="366"/>
      <c r="B42" s="365" t="s">
        <v>135</v>
      </c>
      <c r="C42" s="364">
        <f t="shared" ref="C42:N42" si="9">C8+C14+C20+C26+C32+C35+C40</f>
        <v>194322.61738585</v>
      </c>
      <c r="D42" s="364">
        <f t="shared" si="9"/>
        <v>256558.71738585</v>
      </c>
      <c r="E42" s="364">
        <f t="shared" si="9"/>
        <v>241849.81726090002</v>
      </c>
      <c r="F42" s="364">
        <f t="shared" si="9"/>
        <v>266579.06726089999</v>
      </c>
      <c r="G42" s="364">
        <f t="shared" si="9"/>
        <v>204946.8382609</v>
      </c>
      <c r="H42" s="364">
        <f t="shared" si="9"/>
        <v>257583.11726090001</v>
      </c>
      <c r="I42" s="364">
        <f t="shared" si="9"/>
        <v>257493.94726090002</v>
      </c>
      <c r="J42" s="364">
        <f t="shared" si="9"/>
        <v>-168137.09</v>
      </c>
      <c r="K42" s="364">
        <f t="shared" si="9"/>
        <v>379497</v>
      </c>
      <c r="L42" s="396">
        <f t="shared" si="9"/>
        <v>354495.17726089997</v>
      </c>
      <c r="M42" s="364">
        <f t="shared" si="9"/>
        <v>315900.1372609</v>
      </c>
      <c r="N42" s="363">
        <f t="shared" si="9"/>
        <v>-176104.5727391</v>
      </c>
    </row>
    <row r="43" spans="1:14" s="355" customFormat="1" ht="10.199999999999999" x14ac:dyDescent="0.2">
      <c r="A43" s="366"/>
      <c r="B43" s="365" t="s">
        <v>136</v>
      </c>
      <c r="C43" s="364">
        <f t="shared" ref="C43:N43" si="10">C9+C15+C21+C27+C36</f>
        <v>652446.60000000009</v>
      </c>
      <c r="D43" s="364">
        <f t="shared" si="10"/>
        <v>630543.40000000014</v>
      </c>
      <c r="E43" s="364">
        <f t="shared" si="10"/>
        <v>620093.40000000014</v>
      </c>
      <c r="F43" s="364">
        <f t="shared" si="10"/>
        <v>623393.40000000014</v>
      </c>
      <c r="G43" s="364">
        <f t="shared" si="10"/>
        <v>608406.07500000007</v>
      </c>
      <c r="H43" s="364">
        <f t="shared" si="10"/>
        <v>618606.07500000007</v>
      </c>
      <c r="I43" s="364">
        <f t="shared" si="10"/>
        <v>660701.10000000009</v>
      </c>
      <c r="J43" s="364">
        <f t="shared" si="10"/>
        <v>665197.1</v>
      </c>
      <c r="K43" s="364">
        <f t="shared" si="10"/>
        <v>694907.1</v>
      </c>
      <c r="L43" s="396">
        <f t="shared" si="10"/>
        <v>719548.35000000009</v>
      </c>
      <c r="M43" s="364">
        <f t="shared" si="10"/>
        <v>772182.00000000012</v>
      </c>
      <c r="N43" s="363">
        <f t="shared" si="10"/>
        <v>828830.20000000019</v>
      </c>
    </row>
    <row r="44" spans="1:14" s="355" customFormat="1" ht="10.199999999999999" x14ac:dyDescent="0.2">
      <c r="A44" s="366"/>
      <c r="B44" s="365" t="s">
        <v>154</v>
      </c>
      <c r="C44" s="364">
        <f t="shared" ref="C44:N44" si="11">C10+C16+C22+C28</f>
        <v>57448.25</v>
      </c>
      <c r="D44" s="364">
        <f t="shared" si="11"/>
        <v>59701.45</v>
      </c>
      <c r="E44" s="364">
        <f t="shared" si="11"/>
        <v>58031.45</v>
      </c>
      <c r="F44" s="364">
        <f t="shared" si="11"/>
        <v>54221.45</v>
      </c>
      <c r="G44" s="364">
        <f t="shared" si="11"/>
        <v>54705.474999999991</v>
      </c>
      <c r="H44" s="364">
        <f t="shared" si="11"/>
        <v>52975.474999999991</v>
      </c>
      <c r="I44" s="364">
        <f t="shared" si="11"/>
        <v>56360.45</v>
      </c>
      <c r="J44" s="364">
        <f t="shared" si="11"/>
        <v>60220.4</v>
      </c>
      <c r="K44" s="364">
        <f t="shared" si="11"/>
        <v>60040.4</v>
      </c>
      <c r="L44" s="396">
        <f t="shared" si="11"/>
        <v>60273.299999999988</v>
      </c>
      <c r="M44" s="364">
        <f t="shared" si="11"/>
        <v>64565.424999999996</v>
      </c>
      <c r="N44" s="363">
        <f t="shared" si="11"/>
        <v>68985.424999999988</v>
      </c>
    </row>
    <row r="45" spans="1:14" s="355" customFormat="1" ht="10.199999999999999" x14ac:dyDescent="0.2">
      <c r="A45" s="366"/>
      <c r="B45" s="365" t="s">
        <v>155</v>
      </c>
      <c r="C45" s="364">
        <f t="shared" ref="C45:N45" si="12">C11+C17+C23+C29</f>
        <v>21036.15</v>
      </c>
      <c r="D45" s="364">
        <f t="shared" si="12"/>
        <v>21126.15</v>
      </c>
      <c r="E45" s="364">
        <f t="shared" si="12"/>
        <v>20636.150000000001</v>
      </c>
      <c r="F45" s="364">
        <f t="shared" si="12"/>
        <v>20851.150000000001</v>
      </c>
      <c r="G45" s="364">
        <f t="shared" si="12"/>
        <v>16188.55</v>
      </c>
      <c r="H45" s="364">
        <f t="shared" si="12"/>
        <v>14593.55</v>
      </c>
      <c r="I45" s="364">
        <f t="shared" si="12"/>
        <v>16718.55</v>
      </c>
      <c r="J45" s="364">
        <f t="shared" si="12"/>
        <v>17592.599999999999</v>
      </c>
      <c r="K45" s="364">
        <f t="shared" si="12"/>
        <v>18402.599999999999</v>
      </c>
      <c r="L45" s="396">
        <f t="shared" si="12"/>
        <v>18487.55</v>
      </c>
      <c r="M45" s="364">
        <f t="shared" si="12"/>
        <v>20278.775000000001</v>
      </c>
      <c r="N45" s="363">
        <f t="shared" si="12"/>
        <v>22182.400000000001</v>
      </c>
    </row>
    <row r="46" spans="1:14" s="355" customFormat="1" ht="10.199999999999999" x14ac:dyDescent="0.2">
      <c r="A46" s="366"/>
      <c r="B46" s="365" t="s">
        <v>156</v>
      </c>
      <c r="C46" s="364">
        <f t="shared" ref="C46:N46" si="13">C12+C18+C24+C30+C37+C33</f>
        <v>12602.55</v>
      </c>
      <c r="D46" s="364">
        <f t="shared" si="13"/>
        <v>12839.949999999999</v>
      </c>
      <c r="E46" s="364">
        <f t="shared" si="13"/>
        <v>12588.45</v>
      </c>
      <c r="F46" s="364">
        <f t="shared" si="13"/>
        <v>12526.1</v>
      </c>
      <c r="G46" s="364">
        <f t="shared" si="13"/>
        <v>13384.56470870701</v>
      </c>
      <c r="H46" s="364">
        <f t="shared" si="13"/>
        <v>12311.85</v>
      </c>
      <c r="I46" s="364">
        <f t="shared" si="13"/>
        <v>12293.12</v>
      </c>
      <c r="J46" s="364">
        <f t="shared" si="13"/>
        <v>11674.999999999998</v>
      </c>
      <c r="K46" s="364">
        <f t="shared" si="13"/>
        <v>12326.4</v>
      </c>
      <c r="L46" s="396">
        <f t="shared" si="13"/>
        <v>12236.065000000001</v>
      </c>
      <c r="M46" s="364">
        <f t="shared" si="13"/>
        <v>11009.875</v>
      </c>
      <c r="N46" s="363">
        <f t="shared" si="13"/>
        <v>12697.495000000001</v>
      </c>
    </row>
    <row r="47" spans="1:14" s="355" customFormat="1" ht="21" thickBot="1" x14ac:dyDescent="0.25">
      <c r="A47" s="362"/>
      <c r="B47" s="361" t="s">
        <v>161</v>
      </c>
      <c r="C47" s="360">
        <f t="shared" ref="C47:N47" si="14">C41-C39</f>
        <v>800320.06738585024</v>
      </c>
      <c r="D47" s="360">
        <f t="shared" si="14"/>
        <v>779320.06738585012</v>
      </c>
      <c r="E47" s="360">
        <f t="shared" si="14"/>
        <v>771320.06726090005</v>
      </c>
      <c r="F47" s="359">
        <f t="shared" si="14"/>
        <v>771320.06726090016</v>
      </c>
      <c r="G47" s="359">
        <f t="shared" si="14"/>
        <v>778251.20296960708</v>
      </c>
      <c r="H47" s="359">
        <f t="shared" si="14"/>
        <v>777320.06726090005</v>
      </c>
      <c r="I47" s="359">
        <f t="shared" si="14"/>
        <v>823820.06726090016</v>
      </c>
      <c r="J47" s="359">
        <f t="shared" si="14"/>
        <v>860573.31</v>
      </c>
      <c r="K47" s="359">
        <f t="shared" si="14"/>
        <v>876535.3</v>
      </c>
      <c r="L47" s="359">
        <f t="shared" si="14"/>
        <v>895532.84226090007</v>
      </c>
      <c r="M47" s="359">
        <f t="shared" si="14"/>
        <v>935451.61226090009</v>
      </c>
      <c r="N47" s="358">
        <f t="shared" si="14"/>
        <v>984285.24726090021</v>
      </c>
    </row>
    <row r="48" spans="1:14" s="355" customFormat="1" ht="10.8" thickTop="1" x14ac:dyDescent="0.2">
      <c r="A48" s="357" t="s">
        <v>162</v>
      </c>
      <c r="B48" s="356"/>
      <c r="L48" s="400"/>
    </row>
    <row r="49" spans="1:12" s="355" customFormat="1" ht="10.199999999999999" x14ac:dyDescent="0.2">
      <c r="A49" s="357" t="s">
        <v>163</v>
      </c>
      <c r="B49" s="356"/>
      <c r="L49" s="400"/>
    </row>
    <row r="50" spans="1:12" s="355" customFormat="1" ht="10.199999999999999" x14ac:dyDescent="0.2">
      <c r="L50" s="400"/>
    </row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M28" sqref="M28"/>
    </sheetView>
  </sheetViews>
  <sheetFormatPr defaultColWidth="11" defaultRowHeight="7.2" x14ac:dyDescent="0.15"/>
  <cols>
    <col min="1" max="1" width="2.88671875" style="70" customWidth="1"/>
    <col min="2" max="2" width="20.88671875" style="1" customWidth="1"/>
    <col min="3" max="7" width="7.33203125" style="1" bestFit="1" customWidth="1"/>
    <col min="8" max="8" width="7.109375" style="1" bestFit="1" customWidth="1"/>
    <col min="9" max="13" width="7.33203125" style="1" bestFit="1" customWidth="1"/>
    <col min="14" max="14" width="7.109375" style="1" bestFit="1" customWidth="1"/>
    <col min="15" max="17" width="9.88671875" style="1" customWidth="1"/>
    <col min="18" max="256" width="11" style="1"/>
    <col min="257" max="257" width="2.88671875" style="1" customWidth="1"/>
    <col min="258" max="258" width="20.88671875" style="1" customWidth="1"/>
    <col min="259" max="263" width="7.33203125" style="1" bestFit="1" customWidth="1"/>
    <col min="264" max="264" width="7.109375" style="1" bestFit="1" customWidth="1"/>
    <col min="265" max="269" width="7.33203125" style="1" bestFit="1" customWidth="1"/>
    <col min="270" max="270" width="7.109375" style="1" bestFit="1" customWidth="1"/>
    <col min="271" max="273" width="9.88671875" style="1" customWidth="1"/>
    <col min="274" max="512" width="11" style="1"/>
    <col min="513" max="513" width="2.88671875" style="1" customWidth="1"/>
    <col min="514" max="514" width="20.88671875" style="1" customWidth="1"/>
    <col min="515" max="519" width="7.33203125" style="1" bestFit="1" customWidth="1"/>
    <col min="520" max="520" width="7.109375" style="1" bestFit="1" customWidth="1"/>
    <col min="521" max="525" width="7.33203125" style="1" bestFit="1" customWidth="1"/>
    <col min="526" max="526" width="7.109375" style="1" bestFit="1" customWidth="1"/>
    <col min="527" max="529" width="9.88671875" style="1" customWidth="1"/>
    <col min="530" max="768" width="11" style="1"/>
    <col min="769" max="769" width="2.88671875" style="1" customWidth="1"/>
    <col min="770" max="770" width="20.88671875" style="1" customWidth="1"/>
    <col min="771" max="775" width="7.33203125" style="1" bestFit="1" customWidth="1"/>
    <col min="776" max="776" width="7.109375" style="1" bestFit="1" customWidth="1"/>
    <col min="777" max="781" width="7.33203125" style="1" bestFit="1" customWidth="1"/>
    <col min="782" max="782" width="7.109375" style="1" bestFit="1" customWidth="1"/>
    <col min="783" max="785" width="9.88671875" style="1" customWidth="1"/>
    <col min="786" max="1024" width="11" style="1"/>
    <col min="1025" max="1025" width="2.88671875" style="1" customWidth="1"/>
    <col min="1026" max="1026" width="20.88671875" style="1" customWidth="1"/>
    <col min="1027" max="1031" width="7.33203125" style="1" bestFit="1" customWidth="1"/>
    <col min="1032" max="1032" width="7.109375" style="1" bestFit="1" customWidth="1"/>
    <col min="1033" max="1037" width="7.33203125" style="1" bestFit="1" customWidth="1"/>
    <col min="1038" max="1038" width="7.109375" style="1" bestFit="1" customWidth="1"/>
    <col min="1039" max="1041" width="9.88671875" style="1" customWidth="1"/>
    <col min="1042" max="1280" width="11" style="1"/>
    <col min="1281" max="1281" width="2.88671875" style="1" customWidth="1"/>
    <col min="1282" max="1282" width="20.88671875" style="1" customWidth="1"/>
    <col min="1283" max="1287" width="7.33203125" style="1" bestFit="1" customWidth="1"/>
    <col min="1288" max="1288" width="7.109375" style="1" bestFit="1" customWidth="1"/>
    <col min="1289" max="1293" width="7.33203125" style="1" bestFit="1" customWidth="1"/>
    <col min="1294" max="1294" width="7.109375" style="1" bestFit="1" customWidth="1"/>
    <col min="1295" max="1297" width="9.88671875" style="1" customWidth="1"/>
    <col min="1298" max="1536" width="11" style="1"/>
    <col min="1537" max="1537" width="2.88671875" style="1" customWidth="1"/>
    <col min="1538" max="1538" width="20.88671875" style="1" customWidth="1"/>
    <col min="1539" max="1543" width="7.33203125" style="1" bestFit="1" customWidth="1"/>
    <col min="1544" max="1544" width="7.109375" style="1" bestFit="1" customWidth="1"/>
    <col min="1545" max="1549" width="7.33203125" style="1" bestFit="1" customWidth="1"/>
    <col min="1550" max="1550" width="7.109375" style="1" bestFit="1" customWidth="1"/>
    <col min="1551" max="1553" width="9.88671875" style="1" customWidth="1"/>
    <col min="1554" max="1792" width="11" style="1"/>
    <col min="1793" max="1793" width="2.88671875" style="1" customWidth="1"/>
    <col min="1794" max="1794" width="20.88671875" style="1" customWidth="1"/>
    <col min="1795" max="1799" width="7.33203125" style="1" bestFit="1" customWidth="1"/>
    <col min="1800" max="1800" width="7.109375" style="1" bestFit="1" customWidth="1"/>
    <col min="1801" max="1805" width="7.33203125" style="1" bestFit="1" customWidth="1"/>
    <col min="1806" max="1806" width="7.109375" style="1" bestFit="1" customWidth="1"/>
    <col min="1807" max="1809" width="9.88671875" style="1" customWidth="1"/>
    <col min="1810" max="2048" width="11" style="1"/>
    <col min="2049" max="2049" width="2.88671875" style="1" customWidth="1"/>
    <col min="2050" max="2050" width="20.88671875" style="1" customWidth="1"/>
    <col min="2051" max="2055" width="7.33203125" style="1" bestFit="1" customWidth="1"/>
    <col min="2056" max="2056" width="7.109375" style="1" bestFit="1" customWidth="1"/>
    <col min="2057" max="2061" width="7.33203125" style="1" bestFit="1" customWidth="1"/>
    <col min="2062" max="2062" width="7.109375" style="1" bestFit="1" customWidth="1"/>
    <col min="2063" max="2065" width="9.88671875" style="1" customWidth="1"/>
    <col min="2066" max="2304" width="11" style="1"/>
    <col min="2305" max="2305" width="2.88671875" style="1" customWidth="1"/>
    <col min="2306" max="2306" width="20.88671875" style="1" customWidth="1"/>
    <col min="2307" max="2311" width="7.33203125" style="1" bestFit="1" customWidth="1"/>
    <col min="2312" max="2312" width="7.109375" style="1" bestFit="1" customWidth="1"/>
    <col min="2313" max="2317" width="7.33203125" style="1" bestFit="1" customWidth="1"/>
    <col min="2318" max="2318" width="7.109375" style="1" bestFit="1" customWidth="1"/>
    <col min="2319" max="2321" width="9.88671875" style="1" customWidth="1"/>
    <col min="2322" max="2560" width="11" style="1"/>
    <col min="2561" max="2561" width="2.88671875" style="1" customWidth="1"/>
    <col min="2562" max="2562" width="20.88671875" style="1" customWidth="1"/>
    <col min="2563" max="2567" width="7.33203125" style="1" bestFit="1" customWidth="1"/>
    <col min="2568" max="2568" width="7.109375" style="1" bestFit="1" customWidth="1"/>
    <col min="2569" max="2573" width="7.33203125" style="1" bestFit="1" customWidth="1"/>
    <col min="2574" max="2574" width="7.109375" style="1" bestFit="1" customWidth="1"/>
    <col min="2575" max="2577" width="9.88671875" style="1" customWidth="1"/>
    <col min="2578" max="2816" width="11" style="1"/>
    <col min="2817" max="2817" width="2.88671875" style="1" customWidth="1"/>
    <col min="2818" max="2818" width="20.88671875" style="1" customWidth="1"/>
    <col min="2819" max="2823" width="7.33203125" style="1" bestFit="1" customWidth="1"/>
    <col min="2824" max="2824" width="7.109375" style="1" bestFit="1" customWidth="1"/>
    <col min="2825" max="2829" width="7.33203125" style="1" bestFit="1" customWidth="1"/>
    <col min="2830" max="2830" width="7.109375" style="1" bestFit="1" customWidth="1"/>
    <col min="2831" max="2833" width="9.88671875" style="1" customWidth="1"/>
    <col min="2834" max="3072" width="11" style="1"/>
    <col min="3073" max="3073" width="2.88671875" style="1" customWidth="1"/>
    <col min="3074" max="3074" width="20.88671875" style="1" customWidth="1"/>
    <col min="3075" max="3079" width="7.33203125" style="1" bestFit="1" customWidth="1"/>
    <col min="3080" max="3080" width="7.109375" style="1" bestFit="1" customWidth="1"/>
    <col min="3081" max="3085" width="7.33203125" style="1" bestFit="1" customWidth="1"/>
    <col min="3086" max="3086" width="7.109375" style="1" bestFit="1" customWidth="1"/>
    <col min="3087" max="3089" width="9.88671875" style="1" customWidth="1"/>
    <col min="3090" max="3328" width="11" style="1"/>
    <col min="3329" max="3329" width="2.88671875" style="1" customWidth="1"/>
    <col min="3330" max="3330" width="20.88671875" style="1" customWidth="1"/>
    <col min="3331" max="3335" width="7.33203125" style="1" bestFit="1" customWidth="1"/>
    <col min="3336" max="3336" width="7.109375" style="1" bestFit="1" customWidth="1"/>
    <col min="3337" max="3341" width="7.33203125" style="1" bestFit="1" customWidth="1"/>
    <col min="3342" max="3342" width="7.109375" style="1" bestFit="1" customWidth="1"/>
    <col min="3343" max="3345" width="9.88671875" style="1" customWidth="1"/>
    <col min="3346" max="3584" width="11" style="1"/>
    <col min="3585" max="3585" width="2.88671875" style="1" customWidth="1"/>
    <col min="3586" max="3586" width="20.88671875" style="1" customWidth="1"/>
    <col min="3587" max="3591" width="7.33203125" style="1" bestFit="1" customWidth="1"/>
    <col min="3592" max="3592" width="7.109375" style="1" bestFit="1" customWidth="1"/>
    <col min="3593" max="3597" width="7.33203125" style="1" bestFit="1" customWidth="1"/>
    <col min="3598" max="3598" width="7.109375" style="1" bestFit="1" customWidth="1"/>
    <col min="3599" max="3601" width="9.88671875" style="1" customWidth="1"/>
    <col min="3602" max="3840" width="11" style="1"/>
    <col min="3841" max="3841" width="2.88671875" style="1" customWidth="1"/>
    <col min="3842" max="3842" width="20.88671875" style="1" customWidth="1"/>
    <col min="3843" max="3847" width="7.33203125" style="1" bestFit="1" customWidth="1"/>
    <col min="3848" max="3848" width="7.109375" style="1" bestFit="1" customWidth="1"/>
    <col min="3849" max="3853" width="7.33203125" style="1" bestFit="1" customWidth="1"/>
    <col min="3854" max="3854" width="7.109375" style="1" bestFit="1" customWidth="1"/>
    <col min="3855" max="3857" width="9.88671875" style="1" customWidth="1"/>
    <col min="3858" max="4096" width="11" style="1"/>
    <col min="4097" max="4097" width="2.88671875" style="1" customWidth="1"/>
    <col min="4098" max="4098" width="20.88671875" style="1" customWidth="1"/>
    <col min="4099" max="4103" width="7.33203125" style="1" bestFit="1" customWidth="1"/>
    <col min="4104" max="4104" width="7.109375" style="1" bestFit="1" customWidth="1"/>
    <col min="4105" max="4109" width="7.33203125" style="1" bestFit="1" customWidth="1"/>
    <col min="4110" max="4110" width="7.109375" style="1" bestFit="1" customWidth="1"/>
    <col min="4111" max="4113" width="9.88671875" style="1" customWidth="1"/>
    <col min="4114" max="4352" width="11" style="1"/>
    <col min="4353" max="4353" width="2.88671875" style="1" customWidth="1"/>
    <col min="4354" max="4354" width="20.88671875" style="1" customWidth="1"/>
    <col min="4355" max="4359" width="7.33203125" style="1" bestFit="1" customWidth="1"/>
    <col min="4360" max="4360" width="7.109375" style="1" bestFit="1" customWidth="1"/>
    <col min="4361" max="4365" width="7.33203125" style="1" bestFit="1" customWidth="1"/>
    <col min="4366" max="4366" width="7.109375" style="1" bestFit="1" customWidth="1"/>
    <col min="4367" max="4369" width="9.88671875" style="1" customWidth="1"/>
    <col min="4370" max="4608" width="11" style="1"/>
    <col min="4609" max="4609" width="2.88671875" style="1" customWidth="1"/>
    <col min="4610" max="4610" width="20.88671875" style="1" customWidth="1"/>
    <col min="4611" max="4615" width="7.33203125" style="1" bestFit="1" customWidth="1"/>
    <col min="4616" max="4616" width="7.109375" style="1" bestFit="1" customWidth="1"/>
    <col min="4617" max="4621" width="7.33203125" style="1" bestFit="1" customWidth="1"/>
    <col min="4622" max="4622" width="7.109375" style="1" bestFit="1" customWidth="1"/>
    <col min="4623" max="4625" width="9.88671875" style="1" customWidth="1"/>
    <col min="4626" max="4864" width="11" style="1"/>
    <col min="4865" max="4865" width="2.88671875" style="1" customWidth="1"/>
    <col min="4866" max="4866" width="20.88671875" style="1" customWidth="1"/>
    <col min="4867" max="4871" width="7.33203125" style="1" bestFit="1" customWidth="1"/>
    <col min="4872" max="4872" width="7.109375" style="1" bestFit="1" customWidth="1"/>
    <col min="4873" max="4877" width="7.33203125" style="1" bestFit="1" customWidth="1"/>
    <col min="4878" max="4878" width="7.109375" style="1" bestFit="1" customWidth="1"/>
    <col min="4879" max="4881" width="9.88671875" style="1" customWidth="1"/>
    <col min="4882" max="5120" width="11" style="1"/>
    <col min="5121" max="5121" width="2.88671875" style="1" customWidth="1"/>
    <col min="5122" max="5122" width="20.88671875" style="1" customWidth="1"/>
    <col min="5123" max="5127" width="7.33203125" style="1" bestFit="1" customWidth="1"/>
    <col min="5128" max="5128" width="7.109375" style="1" bestFit="1" customWidth="1"/>
    <col min="5129" max="5133" width="7.33203125" style="1" bestFit="1" customWidth="1"/>
    <col min="5134" max="5134" width="7.109375" style="1" bestFit="1" customWidth="1"/>
    <col min="5135" max="5137" width="9.88671875" style="1" customWidth="1"/>
    <col min="5138" max="5376" width="11" style="1"/>
    <col min="5377" max="5377" width="2.88671875" style="1" customWidth="1"/>
    <col min="5378" max="5378" width="20.88671875" style="1" customWidth="1"/>
    <col min="5379" max="5383" width="7.33203125" style="1" bestFit="1" customWidth="1"/>
    <col min="5384" max="5384" width="7.109375" style="1" bestFit="1" customWidth="1"/>
    <col min="5385" max="5389" width="7.33203125" style="1" bestFit="1" customWidth="1"/>
    <col min="5390" max="5390" width="7.109375" style="1" bestFit="1" customWidth="1"/>
    <col min="5391" max="5393" width="9.88671875" style="1" customWidth="1"/>
    <col min="5394" max="5632" width="11" style="1"/>
    <col min="5633" max="5633" width="2.88671875" style="1" customWidth="1"/>
    <col min="5634" max="5634" width="20.88671875" style="1" customWidth="1"/>
    <col min="5635" max="5639" width="7.33203125" style="1" bestFit="1" customWidth="1"/>
    <col min="5640" max="5640" width="7.109375" style="1" bestFit="1" customWidth="1"/>
    <col min="5641" max="5645" width="7.33203125" style="1" bestFit="1" customWidth="1"/>
    <col min="5646" max="5646" width="7.109375" style="1" bestFit="1" customWidth="1"/>
    <col min="5647" max="5649" width="9.88671875" style="1" customWidth="1"/>
    <col min="5650" max="5888" width="11" style="1"/>
    <col min="5889" max="5889" width="2.88671875" style="1" customWidth="1"/>
    <col min="5890" max="5890" width="20.88671875" style="1" customWidth="1"/>
    <col min="5891" max="5895" width="7.33203125" style="1" bestFit="1" customWidth="1"/>
    <col min="5896" max="5896" width="7.109375" style="1" bestFit="1" customWidth="1"/>
    <col min="5897" max="5901" width="7.33203125" style="1" bestFit="1" customWidth="1"/>
    <col min="5902" max="5902" width="7.109375" style="1" bestFit="1" customWidth="1"/>
    <col min="5903" max="5905" width="9.88671875" style="1" customWidth="1"/>
    <col min="5906" max="6144" width="11" style="1"/>
    <col min="6145" max="6145" width="2.88671875" style="1" customWidth="1"/>
    <col min="6146" max="6146" width="20.88671875" style="1" customWidth="1"/>
    <col min="6147" max="6151" width="7.33203125" style="1" bestFit="1" customWidth="1"/>
    <col min="6152" max="6152" width="7.109375" style="1" bestFit="1" customWidth="1"/>
    <col min="6153" max="6157" width="7.33203125" style="1" bestFit="1" customWidth="1"/>
    <col min="6158" max="6158" width="7.109375" style="1" bestFit="1" customWidth="1"/>
    <col min="6159" max="6161" width="9.88671875" style="1" customWidth="1"/>
    <col min="6162" max="6400" width="11" style="1"/>
    <col min="6401" max="6401" width="2.88671875" style="1" customWidth="1"/>
    <col min="6402" max="6402" width="20.88671875" style="1" customWidth="1"/>
    <col min="6403" max="6407" width="7.33203125" style="1" bestFit="1" customWidth="1"/>
    <col min="6408" max="6408" width="7.109375" style="1" bestFit="1" customWidth="1"/>
    <col min="6409" max="6413" width="7.33203125" style="1" bestFit="1" customWidth="1"/>
    <col min="6414" max="6414" width="7.109375" style="1" bestFit="1" customWidth="1"/>
    <col min="6415" max="6417" width="9.88671875" style="1" customWidth="1"/>
    <col min="6418" max="6656" width="11" style="1"/>
    <col min="6657" max="6657" width="2.88671875" style="1" customWidth="1"/>
    <col min="6658" max="6658" width="20.88671875" style="1" customWidth="1"/>
    <col min="6659" max="6663" width="7.33203125" style="1" bestFit="1" customWidth="1"/>
    <col min="6664" max="6664" width="7.109375" style="1" bestFit="1" customWidth="1"/>
    <col min="6665" max="6669" width="7.33203125" style="1" bestFit="1" customWidth="1"/>
    <col min="6670" max="6670" width="7.109375" style="1" bestFit="1" customWidth="1"/>
    <col min="6671" max="6673" width="9.88671875" style="1" customWidth="1"/>
    <col min="6674" max="6912" width="11" style="1"/>
    <col min="6913" max="6913" width="2.88671875" style="1" customWidth="1"/>
    <col min="6914" max="6914" width="20.88671875" style="1" customWidth="1"/>
    <col min="6915" max="6919" width="7.33203125" style="1" bestFit="1" customWidth="1"/>
    <col min="6920" max="6920" width="7.109375" style="1" bestFit="1" customWidth="1"/>
    <col min="6921" max="6925" width="7.33203125" style="1" bestFit="1" customWidth="1"/>
    <col min="6926" max="6926" width="7.109375" style="1" bestFit="1" customWidth="1"/>
    <col min="6927" max="6929" width="9.88671875" style="1" customWidth="1"/>
    <col min="6930" max="7168" width="11" style="1"/>
    <col min="7169" max="7169" width="2.88671875" style="1" customWidth="1"/>
    <col min="7170" max="7170" width="20.88671875" style="1" customWidth="1"/>
    <col min="7171" max="7175" width="7.33203125" style="1" bestFit="1" customWidth="1"/>
    <col min="7176" max="7176" width="7.109375" style="1" bestFit="1" customWidth="1"/>
    <col min="7177" max="7181" width="7.33203125" style="1" bestFit="1" customWidth="1"/>
    <col min="7182" max="7182" width="7.109375" style="1" bestFit="1" customWidth="1"/>
    <col min="7183" max="7185" width="9.88671875" style="1" customWidth="1"/>
    <col min="7186" max="7424" width="11" style="1"/>
    <col min="7425" max="7425" width="2.88671875" style="1" customWidth="1"/>
    <col min="7426" max="7426" width="20.88671875" style="1" customWidth="1"/>
    <col min="7427" max="7431" width="7.33203125" style="1" bestFit="1" customWidth="1"/>
    <col min="7432" max="7432" width="7.109375" style="1" bestFit="1" customWidth="1"/>
    <col min="7433" max="7437" width="7.33203125" style="1" bestFit="1" customWidth="1"/>
    <col min="7438" max="7438" width="7.109375" style="1" bestFit="1" customWidth="1"/>
    <col min="7439" max="7441" width="9.88671875" style="1" customWidth="1"/>
    <col min="7442" max="7680" width="11" style="1"/>
    <col min="7681" max="7681" width="2.88671875" style="1" customWidth="1"/>
    <col min="7682" max="7682" width="20.88671875" style="1" customWidth="1"/>
    <col min="7683" max="7687" width="7.33203125" style="1" bestFit="1" customWidth="1"/>
    <col min="7688" max="7688" width="7.109375" style="1" bestFit="1" customWidth="1"/>
    <col min="7689" max="7693" width="7.33203125" style="1" bestFit="1" customWidth="1"/>
    <col min="7694" max="7694" width="7.109375" style="1" bestFit="1" customWidth="1"/>
    <col min="7695" max="7697" width="9.88671875" style="1" customWidth="1"/>
    <col min="7698" max="7936" width="11" style="1"/>
    <col min="7937" max="7937" width="2.88671875" style="1" customWidth="1"/>
    <col min="7938" max="7938" width="20.88671875" style="1" customWidth="1"/>
    <col min="7939" max="7943" width="7.33203125" style="1" bestFit="1" customWidth="1"/>
    <col min="7944" max="7944" width="7.109375" style="1" bestFit="1" customWidth="1"/>
    <col min="7945" max="7949" width="7.33203125" style="1" bestFit="1" customWidth="1"/>
    <col min="7950" max="7950" width="7.109375" style="1" bestFit="1" customWidth="1"/>
    <col min="7951" max="7953" width="9.88671875" style="1" customWidth="1"/>
    <col min="7954" max="8192" width="11" style="1"/>
    <col min="8193" max="8193" width="2.88671875" style="1" customWidth="1"/>
    <col min="8194" max="8194" width="20.88671875" style="1" customWidth="1"/>
    <col min="8195" max="8199" width="7.33203125" style="1" bestFit="1" customWidth="1"/>
    <col min="8200" max="8200" width="7.109375" style="1" bestFit="1" customWidth="1"/>
    <col min="8201" max="8205" width="7.33203125" style="1" bestFit="1" customWidth="1"/>
    <col min="8206" max="8206" width="7.109375" style="1" bestFit="1" customWidth="1"/>
    <col min="8207" max="8209" width="9.88671875" style="1" customWidth="1"/>
    <col min="8210" max="8448" width="11" style="1"/>
    <col min="8449" max="8449" width="2.88671875" style="1" customWidth="1"/>
    <col min="8450" max="8450" width="20.88671875" style="1" customWidth="1"/>
    <col min="8451" max="8455" width="7.33203125" style="1" bestFit="1" customWidth="1"/>
    <col min="8456" max="8456" width="7.109375" style="1" bestFit="1" customWidth="1"/>
    <col min="8457" max="8461" width="7.33203125" style="1" bestFit="1" customWidth="1"/>
    <col min="8462" max="8462" width="7.109375" style="1" bestFit="1" customWidth="1"/>
    <col min="8463" max="8465" width="9.88671875" style="1" customWidth="1"/>
    <col min="8466" max="8704" width="11" style="1"/>
    <col min="8705" max="8705" width="2.88671875" style="1" customWidth="1"/>
    <col min="8706" max="8706" width="20.88671875" style="1" customWidth="1"/>
    <col min="8707" max="8711" width="7.33203125" style="1" bestFit="1" customWidth="1"/>
    <col min="8712" max="8712" width="7.109375" style="1" bestFit="1" customWidth="1"/>
    <col min="8713" max="8717" width="7.33203125" style="1" bestFit="1" customWidth="1"/>
    <col min="8718" max="8718" width="7.109375" style="1" bestFit="1" customWidth="1"/>
    <col min="8719" max="8721" width="9.88671875" style="1" customWidth="1"/>
    <col min="8722" max="8960" width="11" style="1"/>
    <col min="8961" max="8961" width="2.88671875" style="1" customWidth="1"/>
    <col min="8962" max="8962" width="20.88671875" style="1" customWidth="1"/>
    <col min="8963" max="8967" width="7.33203125" style="1" bestFit="1" customWidth="1"/>
    <col min="8968" max="8968" width="7.109375" style="1" bestFit="1" customWidth="1"/>
    <col min="8969" max="8973" width="7.33203125" style="1" bestFit="1" customWidth="1"/>
    <col min="8974" max="8974" width="7.109375" style="1" bestFit="1" customWidth="1"/>
    <col min="8975" max="8977" width="9.88671875" style="1" customWidth="1"/>
    <col min="8978" max="9216" width="11" style="1"/>
    <col min="9217" max="9217" width="2.88671875" style="1" customWidth="1"/>
    <col min="9218" max="9218" width="20.88671875" style="1" customWidth="1"/>
    <col min="9219" max="9223" width="7.33203125" style="1" bestFit="1" customWidth="1"/>
    <col min="9224" max="9224" width="7.109375" style="1" bestFit="1" customWidth="1"/>
    <col min="9225" max="9229" width="7.33203125" style="1" bestFit="1" customWidth="1"/>
    <col min="9230" max="9230" width="7.109375" style="1" bestFit="1" customWidth="1"/>
    <col min="9231" max="9233" width="9.88671875" style="1" customWidth="1"/>
    <col min="9234" max="9472" width="11" style="1"/>
    <col min="9473" max="9473" width="2.88671875" style="1" customWidth="1"/>
    <col min="9474" max="9474" width="20.88671875" style="1" customWidth="1"/>
    <col min="9475" max="9479" width="7.33203125" style="1" bestFit="1" customWidth="1"/>
    <col min="9480" max="9480" width="7.109375" style="1" bestFit="1" customWidth="1"/>
    <col min="9481" max="9485" width="7.33203125" style="1" bestFit="1" customWidth="1"/>
    <col min="9486" max="9486" width="7.109375" style="1" bestFit="1" customWidth="1"/>
    <col min="9487" max="9489" width="9.88671875" style="1" customWidth="1"/>
    <col min="9490" max="9728" width="11" style="1"/>
    <col min="9729" max="9729" width="2.88671875" style="1" customWidth="1"/>
    <col min="9730" max="9730" width="20.88671875" style="1" customWidth="1"/>
    <col min="9731" max="9735" width="7.33203125" style="1" bestFit="1" customWidth="1"/>
    <col min="9736" max="9736" width="7.109375" style="1" bestFit="1" customWidth="1"/>
    <col min="9737" max="9741" width="7.33203125" style="1" bestFit="1" customWidth="1"/>
    <col min="9742" max="9742" width="7.109375" style="1" bestFit="1" customWidth="1"/>
    <col min="9743" max="9745" width="9.88671875" style="1" customWidth="1"/>
    <col min="9746" max="9984" width="11" style="1"/>
    <col min="9985" max="9985" width="2.88671875" style="1" customWidth="1"/>
    <col min="9986" max="9986" width="20.88671875" style="1" customWidth="1"/>
    <col min="9987" max="9991" width="7.33203125" style="1" bestFit="1" customWidth="1"/>
    <col min="9992" max="9992" width="7.109375" style="1" bestFit="1" customWidth="1"/>
    <col min="9993" max="9997" width="7.33203125" style="1" bestFit="1" customWidth="1"/>
    <col min="9998" max="9998" width="7.109375" style="1" bestFit="1" customWidth="1"/>
    <col min="9999" max="10001" width="9.88671875" style="1" customWidth="1"/>
    <col min="10002" max="10240" width="11" style="1"/>
    <col min="10241" max="10241" width="2.88671875" style="1" customWidth="1"/>
    <col min="10242" max="10242" width="20.88671875" style="1" customWidth="1"/>
    <col min="10243" max="10247" width="7.33203125" style="1" bestFit="1" customWidth="1"/>
    <col min="10248" max="10248" width="7.109375" style="1" bestFit="1" customWidth="1"/>
    <col min="10249" max="10253" width="7.33203125" style="1" bestFit="1" customWidth="1"/>
    <col min="10254" max="10254" width="7.109375" style="1" bestFit="1" customWidth="1"/>
    <col min="10255" max="10257" width="9.88671875" style="1" customWidth="1"/>
    <col min="10258" max="10496" width="11" style="1"/>
    <col min="10497" max="10497" width="2.88671875" style="1" customWidth="1"/>
    <col min="10498" max="10498" width="20.88671875" style="1" customWidth="1"/>
    <col min="10499" max="10503" width="7.33203125" style="1" bestFit="1" customWidth="1"/>
    <col min="10504" max="10504" width="7.109375" style="1" bestFit="1" customWidth="1"/>
    <col min="10505" max="10509" width="7.33203125" style="1" bestFit="1" customWidth="1"/>
    <col min="10510" max="10510" width="7.109375" style="1" bestFit="1" customWidth="1"/>
    <col min="10511" max="10513" width="9.88671875" style="1" customWidth="1"/>
    <col min="10514" max="10752" width="11" style="1"/>
    <col min="10753" max="10753" width="2.88671875" style="1" customWidth="1"/>
    <col min="10754" max="10754" width="20.88671875" style="1" customWidth="1"/>
    <col min="10755" max="10759" width="7.33203125" style="1" bestFit="1" customWidth="1"/>
    <col min="10760" max="10760" width="7.109375" style="1" bestFit="1" customWidth="1"/>
    <col min="10761" max="10765" width="7.33203125" style="1" bestFit="1" customWidth="1"/>
    <col min="10766" max="10766" width="7.109375" style="1" bestFit="1" customWidth="1"/>
    <col min="10767" max="10769" width="9.88671875" style="1" customWidth="1"/>
    <col min="10770" max="11008" width="11" style="1"/>
    <col min="11009" max="11009" width="2.88671875" style="1" customWidth="1"/>
    <col min="11010" max="11010" width="20.88671875" style="1" customWidth="1"/>
    <col min="11011" max="11015" width="7.33203125" style="1" bestFit="1" customWidth="1"/>
    <col min="11016" max="11016" width="7.109375" style="1" bestFit="1" customWidth="1"/>
    <col min="11017" max="11021" width="7.33203125" style="1" bestFit="1" customWidth="1"/>
    <col min="11022" max="11022" width="7.109375" style="1" bestFit="1" customWidth="1"/>
    <col min="11023" max="11025" width="9.88671875" style="1" customWidth="1"/>
    <col min="11026" max="11264" width="11" style="1"/>
    <col min="11265" max="11265" width="2.88671875" style="1" customWidth="1"/>
    <col min="11266" max="11266" width="20.88671875" style="1" customWidth="1"/>
    <col min="11267" max="11271" width="7.33203125" style="1" bestFit="1" customWidth="1"/>
    <col min="11272" max="11272" width="7.109375" style="1" bestFit="1" customWidth="1"/>
    <col min="11273" max="11277" width="7.33203125" style="1" bestFit="1" customWidth="1"/>
    <col min="11278" max="11278" width="7.109375" style="1" bestFit="1" customWidth="1"/>
    <col min="11279" max="11281" width="9.88671875" style="1" customWidth="1"/>
    <col min="11282" max="11520" width="11" style="1"/>
    <col min="11521" max="11521" width="2.88671875" style="1" customWidth="1"/>
    <col min="11522" max="11522" width="20.88671875" style="1" customWidth="1"/>
    <col min="11523" max="11527" width="7.33203125" style="1" bestFit="1" customWidth="1"/>
    <col min="11528" max="11528" width="7.109375" style="1" bestFit="1" customWidth="1"/>
    <col min="11529" max="11533" width="7.33203125" style="1" bestFit="1" customWidth="1"/>
    <col min="11534" max="11534" width="7.109375" style="1" bestFit="1" customWidth="1"/>
    <col min="11535" max="11537" width="9.88671875" style="1" customWidth="1"/>
    <col min="11538" max="11776" width="11" style="1"/>
    <col min="11777" max="11777" width="2.88671875" style="1" customWidth="1"/>
    <col min="11778" max="11778" width="20.88671875" style="1" customWidth="1"/>
    <col min="11779" max="11783" width="7.33203125" style="1" bestFit="1" customWidth="1"/>
    <col min="11784" max="11784" width="7.109375" style="1" bestFit="1" customWidth="1"/>
    <col min="11785" max="11789" width="7.33203125" style="1" bestFit="1" customWidth="1"/>
    <col min="11790" max="11790" width="7.109375" style="1" bestFit="1" customWidth="1"/>
    <col min="11791" max="11793" width="9.88671875" style="1" customWidth="1"/>
    <col min="11794" max="12032" width="11" style="1"/>
    <col min="12033" max="12033" width="2.88671875" style="1" customWidth="1"/>
    <col min="12034" max="12034" width="20.88671875" style="1" customWidth="1"/>
    <col min="12035" max="12039" width="7.33203125" style="1" bestFit="1" customWidth="1"/>
    <col min="12040" max="12040" width="7.109375" style="1" bestFit="1" customWidth="1"/>
    <col min="12041" max="12045" width="7.33203125" style="1" bestFit="1" customWidth="1"/>
    <col min="12046" max="12046" width="7.109375" style="1" bestFit="1" customWidth="1"/>
    <col min="12047" max="12049" width="9.88671875" style="1" customWidth="1"/>
    <col min="12050" max="12288" width="11" style="1"/>
    <col min="12289" max="12289" width="2.88671875" style="1" customWidth="1"/>
    <col min="12290" max="12290" width="20.88671875" style="1" customWidth="1"/>
    <col min="12291" max="12295" width="7.33203125" style="1" bestFit="1" customWidth="1"/>
    <col min="12296" max="12296" width="7.109375" style="1" bestFit="1" customWidth="1"/>
    <col min="12297" max="12301" width="7.33203125" style="1" bestFit="1" customWidth="1"/>
    <col min="12302" max="12302" width="7.109375" style="1" bestFit="1" customWidth="1"/>
    <col min="12303" max="12305" width="9.88671875" style="1" customWidth="1"/>
    <col min="12306" max="12544" width="11" style="1"/>
    <col min="12545" max="12545" width="2.88671875" style="1" customWidth="1"/>
    <col min="12546" max="12546" width="20.88671875" style="1" customWidth="1"/>
    <col min="12547" max="12551" width="7.33203125" style="1" bestFit="1" customWidth="1"/>
    <col min="12552" max="12552" width="7.109375" style="1" bestFit="1" customWidth="1"/>
    <col min="12553" max="12557" width="7.33203125" style="1" bestFit="1" customWidth="1"/>
    <col min="12558" max="12558" width="7.109375" style="1" bestFit="1" customWidth="1"/>
    <col min="12559" max="12561" width="9.88671875" style="1" customWidth="1"/>
    <col min="12562" max="12800" width="11" style="1"/>
    <col min="12801" max="12801" width="2.88671875" style="1" customWidth="1"/>
    <col min="12802" max="12802" width="20.88671875" style="1" customWidth="1"/>
    <col min="12803" max="12807" width="7.33203125" style="1" bestFit="1" customWidth="1"/>
    <col min="12808" max="12808" width="7.109375" style="1" bestFit="1" customWidth="1"/>
    <col min="12809" max="12813" width="7.33203125" style="1" bestFit="1" customWidth="1"/>
    <col min="12814" max="12814" width="7.109375" style="1" bestFit="1" customWidth="1"/>
    <col min="12815" max="12817" width="9.88671875" style="1" customWidth="1"/>
    <col min="12818" max="13056" width="11" style="1"/>
    <col min="13057" max="13057" width="2.88671875" style="1" customWidth="1"/>
    <col min="13058" max="13058" width="20.88671875" style="1" customWidth="1"/>
    <col min="13059" max="13063" width="7.33203125" style="1" bestFit="1" customWidth="1"/>
    <col min="13064" max="13064" width="7.109375" style="1" bestFit="1" customWidth="1"/>
    <col min="13065" max="13069" width="7.33203125" style="1" bestFit="1" customWidth="1"/>
    <col min="13070" max="13070" width="7.109375" style="1" bestFit="1" customWidth="1"/>
    <col min="13071" max="13073" width="9.88671875" style="1" customWidth="1"/>
    <col min="13074" max="13312" width="11" style="1"/>
    <col min="13313" max="13313" width="2.88671875" style="1" customWidth="1"/>
    <col min="13314" max="13314" width="20.88671875" style="1" customWidth="1"/>
    <col min="13315" max="13319" width="7.33203125" style="1" bestFit="1" customWidth="1"/>
    <col min="13320" max="13320" width="7.109375" style="1" bestFit="1" customWidth="1"/>
    <col min="13321" max="13325" width="7.33203125" style="1" bestFit="1" customWidth="1"/>
    <col min="13326" max="13326" width="7.109375" style="1" bestFit="1" customWidth="1"/>
    <col min="13327" max="13329" width="9.88671875" style="1" customWidth="1"/>
    <col min="13330" max="13568" width="11" style="1"/>
    <col min="13569" max="13569" width="2.88671875" style="1" customWidth="1"/>
    <col min="13570" max="13570" width="20.88671875" style="1" customWidth="1"/>
    <col min="13571" max="13575" width="7.33203125" style="1" bestFit="1" customWidth="1"/>
    <col min="13576" max="13576" width="7.109375" style="1" bestFit="1" customWidth="1"/>
    <col min="13577" max="13581" width="7.33203125" style="1" bestFit="1" customWidth="1"/>
    <col min="13582" max="13582" width="7.109375" style="1" bestFit="1" customWidth="1"/>
    <col min="13583" max="13585" width="9.88671875" style="1" customWidth="1"/>
    <col min="13586" max="13824" width="11" style="1"/>
    <col min="13825" max="13825" width="2.88671875" style="1" customWidth="1"/>
    <col min="13826" max="13826" width="20.88671875" style="1" customWidth="1"/>
    <col min="13827" max="13831" width="7.33203125" style="1" bestFit="1" customWidth="1"/>
    <col min="13832" max="13832" width="7.109375" style="1" bestFit="1" customWidth="1"/>
    <col min="13833" max="13837" width="7.33203125" style="1" bestFit="1" customWidth="1"/>
    <col min="13838" max="13838" width="7.109375" style="1" bestFit="1" customWidth="1"/>
    <col min="13839" max="13841" width="9.88671875" style="1" customWidth="1"/>
    <col min="13842" max="14080" width="11" style="1"/>
    <col min="14081" max="14081" width="2.88671875" style="1" customWidth="1"/>
    <col min="14082" max="14082" width="20.88671875" style="1" customWidth="1"/>
    <col min="14083" max="14087" width="7.33203125" style="1" bestFit="1" customWidth="1"/>
    <col min="14088" max="14088" width="7.109375" style="1" bestFit="1" customWidth="1"/>
    <col min="14089" max="14093" width="7.33203125" style="1" bestFit="1" customWidth="1"/>
    <col min="14094" max="14094" width="7.109375" style="1" bestFit="1" customWidth="1"/>
    <col min="14095" max="14097" width="9.88671875" style="1" customWidth="1"/>
    <col min="14098" max="14336" width="11" style="1"/>
    <col min="14337" max="14337" width="2.88671875" style="1" customWidth="1"/>
    <col min="14338" max="14338" width="20.88671875" style="1" customWidth="1"/>
    <col min="14339" max="14343" width="7.33203125" style="1" bestFit="1" customWidth="1"/>
    <col min="14344" max="14344" width="7.109375" style="1" bestFit="1" customWidth="1"/>
    <col min="14345" max="14349" width="7.33203125" style="1" bestFit="1" customWidth="1"/>
    <col min="14350" max="14350" width="7.109375" style="1" bestFit="1" customWidth="1"/>
    <col min="14351" max="14353" width="9.88671875" style="1" customWidth="1"/>
    <col min="14354" max="14592" width="11" style="1"/>
    <col min="14593" max="14593" width="2.88671875" style="1" customWidth="1"/>
    <col min="14594" max="14594" width="20.88671875" style="1" customWidth="1"/>
    <col min="14595" max="14599" width="7.33203125" style="1" bestFit="1" customWidth="1"/>
    <col min="14600" max="14600" width="7.109375" style="1" bestFit="1" customWidth="1"/>
    <col min="14601" max="14605" width="7.33203125" style="1" bestFit="1" customWidth="1"/>
    <col min="14606" max="14606" width="7.109375" style="1" bestFit="1" customWidth="1"/>
    <col min="14607" max="14609" width="9.88671875" style="1" customWidth="1"/>
    <col min="14610" max="14848" width="11" style="1"/>
    <col min="14849" max="14849" width="2.88671875" style="1" customWidth="1"/>
    <col min="14850" max="14850" width="20.88671875" style="1" customWidth="1"/>
    <col min="14851" max="14855" width="7.33203125" style="1" bestFit="1" customWidth="1"/>
    <col min="14856" max="14856" width="7.109375" style="1" bestFit="1" customWidth="1"/>
    <col min="14857" max="14861" width="7.33203125" style="1" bestFit="1" customWidth="1"/>
    <col min="14862" max="14862" width="7.109375" style="1" bestFit="1" customWidth="1"/>
    <col min="14863" max="14865" width="9.88671875" style="1" customWidth="1"/>
    <col min="14866" max="15104" width="11" style="1"/>
    <col min="15105" max="15105" width="2.88671875" style="1" customWidth="1"/>
    <col min="15106" max="15106" width="20.88671875" style="1" customWidth="1"/>
    <col min="15107" max="15111" width="7.33203125" style="1" bestFit="1" customWidth="1"/>
    <col min="15112" max="15112" width="7.109375" style="1" bestFit="1" customWidth="1"/>
    <col min="15113" max="15117" width="7.33203125" style="1" bestFit="1" customWidth="1"/>
    <col min="15118" max="15118" width="7.109375" style="1" bestFit="1" customWidth="1"/>
    <col min="15119" max="15121" width="9.88671875" style="1" customWidth="1"/>
    <col min="15122" max="15360" width="11" style="1"/>
    <col min="15361" max="15361" width="2.88671875" style="1" customWidth="1"/>
    <col min="15362" max="15362" width="20.88671875" style="1" customWidth="1"/>
    <col min="15363" max="15367" width="7.33203125" style="1" bestFit="1" customWidth="1"/>
    <col min="15368" max="15368" width="7.109375" style="1" bestFit="1" customWidth="1"/>
    <col min="15369" max="15373" width="7.33203125" style="1" bestFit="1" customWidth="1"/>
    <col min="15374" max="15374" width="7.109375" style="1" bestFit="1" customWidth="1"/>
    <col min="15375" max="15377" width="9.88671875" style="1" customWidth="1"/>
    <col min="15378" max="15616" width="11" style="1"/>
    <col min="15617" max="15617" width="2.88671875" style="1" customWidth="1"/>
    <col min="15618" max="15618" width="20.88671875" style="1" customWidth="1"/>
    <col min="15619" max="15623" width="7.33203125" style="1" bestFit="1" customWidth="1"/>
    <col min="15624" max="15624" width="7.109375" style="1" bestFit="1" customWidth="1"/>
    <col min="15625" max="15629" width="7.33203125" style="1" bestFit="1" customWidth="1"/>
    <col min="15630" max="15630" width="7.109375" style="1" bestFit="1" customWidth="1"/>
    <col min="15631" max="15633" width="9.88671875" style="1" customWidth="1"/>
    <col min="15634" max="15872" width="11" style="1"/>
    <col min="15873" max="15873" width="2.88671875" style="1" customWidth="1"/>
    <col min="15874" max="15874" width="20.88671875" style="1" customWidth="1"/>
    <col min="15875" max="15879" width="7.33203125" style="1" bestFit="1" customWidth="1"/>
    <col min="15880" max="15880" width="7.109375" style="1" bestFit="1" customWidth="1"/>
    <col min="15881" max="15885" width="7.33203125" style="1" bestFit="1" customWidth="1"/>
    <col min="15886" max="15886" width="7.109375" style="1" bestFit="1" customWidth="1"/>
    <col min="15887" max="15889" width="9.88671875" style="1" customWidth="1"/>
    <col min="15890" max="16128" width="11" style="1"/>
    <col min="16129" max="16129" width="2.88671875" style="1" customWidth="1"/>
    <col min="16130" max="16130" width="20.88671875" style="1" customWidth="1"/>
    <col min="16131" max="16135" width="7.33203125" style="1" bestFit="1" customWidth="1"/>
    <col min="16136" max="16136" width="7.109375" style="1" bestFit="1" customWidth="1"/>
    <col min="16137" max="16141" width="7.33203125" style="1" bestFit="1" customWidth="1"/>
    <col min="16142" max="16142" width="7.109375" style="1" bestFit="1" customWidth="1"/>
    <col min="16143" max="16145" width="9.88671875" style="1" customWidth="1"/>
    <col min="16146" max="16384" width="11" style="1"/>
  </cols>
  <sheetData>
    <row r="1" spans="1:19" ht="15.6" x14ac:dyDescent="0.3">
      <c r="A1" s="405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7"/>
    </row>
    <row r="2" spans="1:19" x14ac:dyDescent="0.15">
      <c r="A2" s="408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10"/>
    </row>
    <row r="3" spans="1:19" ht="13.8" thickBot="1" x14ac:dyDescent="0.3">
      <c r="A3" s="420" t="s">
        <v>1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2"/>
    </row>
    <row r="4" spans="1:19" s="42" customFormat="1" ht="9" thickTop="1" x14ac:dyDescent="0.15">
      <c r="A4" s="423" t="s">
        <v>2</v>
      </c>
      <c r="B4" s="425" t="s">
        <v>3</v>
      </c>
      <c r="C4" s="427" t="s">
        <v>52</v>
      </c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9"/>
    </row>
    <row r="5" spans="1:19" s="42" customFormat="1" ht="8.4" x14ac:dyDescent="0.15">
      <c r="A5" s="424"/>
      <c r="B5" s="426"/>
      <c r="C5" s="43" t="s">
        <v>5</v>
      </c>
      <c r="D5" s="43" t="s">
        <v>6</v>
      </c>
      <c r="E5" s="43" t="s">
        <v>7</v>
      </c>
      <c r="F5" s="43" t="s">
        <v>8</v>
      </c>
      <c r="G5" s="43" t="s">
        <v>9</v>
      </c>
      <c r="H5" s="43" t="s">
        <v>10</v>
      </c>
      <c r="I5" s="43" t="s">
        <v>11</v>
      </c>
      <c r="J5" s="43" t="s">
        <v>12</v>
      </c>
      <c r="K5" s="43" t="s">
        <v>13</v>
      </c>
      <c r="L5" s="43" t="s">
        <v>14</v>
      </c>
      <c r="M5" s="43" t="s">
        <v>15</v>
      </c>
      <c r="N5" s="44" t="s">
        <v>16</v>
      </c>
    </row>
    <row r="6" spans="1:19" s="42" customFormat="1" ht="8.4" x14ac:dyDescent="0.15">
      <c r="A6" s="45">
        <v>1</v>
      </c>
      <c r="B6" s="46" t="s">
        <v>17</v>
      </c>
      <c r="C6" s="47">
        <v>9182.5</v>
      </c>
      <c r="D6" s="47">
        <v>9182.5</v>
      </c>
      <c r="E6" s="47">
        <v>9182.5</v>
      </c>
      <c r="F6" s="47">
        <v>9182.5</v>
      </c>
      <c r="G6" s="47">
        <v>9182.5</v>
      </c>
      <c r="H6" s="47">
        <v>9182.5</v>
      </c>
      <c r="I6" s="47">
        <v>10182.5</v>
      </c>
      <c r="J6" s="47">
        <v>14162.9</v>
      </c>
      <c r="K6" s="47">
        <v>16986.900000000001</v>
      </c>
      <c r="L6" s="47">
        <v>17586.900000000001</v>
      </c>
      <c r="M6" s="47">
        <v>17586.900000000001</v>
      </c>
      <c r="N6" s="48">
        <v>17586.900000000001</v>
      </c>
    </row>
    <row r="7" spans="1:19" s="37" customFormat="1" ht="8.4" x14ac:dyDescent="0.15">
      <c r="A7" s="49"/>
      <c r="B7" s="50" t="s">
        <v>18</v>
      </c>
      <c r="C7" s="51">
        <v>8269.7999999999993</v>
      </c>
      <c r="D7" s="51">
        <v>8007.3</v>
      </c>
      <c r="E7" s="51">
        <v>8117.3</v>
      </c>
      <c r="F7" s="51">
        <v>8335</v>
      </c>
      <c r="G7" s="51">
        <v>8219.5</v>
      </c>
      <c r="H7" s="51">
        <v>7385.9</v>
      </c>
      <c r="I7" s="51">
        <v>8265.9</v>
      </c>
      <c r="J7" s="51">
        <v>12174.3</v>
      </c>
      <c r="K7" s="51">
        <v>14845.7</v>
      </c>
      <c r="L7" s="51">
        <v>14943.2</v>
      </c>
      <c r="M7" s="51">
        <v>14933.2</v>
      </c>
      <c r="N7" s="52">
        <v>14755.7</v>
      </c>
      <c r="S7" s="38"/>
    </row>
    <row r="8" spans="1:19" s="41" customFormat="1" ht="8.4" x14ac:dyDescent="0.15">
      <c r="A8" s="53"/>
      <c r="B8" s="54" t="s">
        <v>19</v>
      </c>
      <c r="C8" s="55" t="s">
        <v>22</v>
      </c>
      <c r="D8" s="55" t="s">
        <v>22</v>
      </c>
      <c r="E8" s="56">
        <v>455</v>
      </c>
      <c r="F8" s="56">
        <v>1176</v>
      </c>
      <c r="G8" s="56">
        <v>1336.2</v>
      </c>
      <c r="H8" s="56">
        <v>0</v>
      </c>
      <c r="I8" s="56">
        <v>260</v>
      </c>
      <c r="J8" s="56">
        <v>3980.3</v>
      </c>
      <c r="K8" s="56">
        <v>4671.7</v>
      </c>
      <c r="L8" s="56">
        <v>4859.2</v>
      </c>
      <c r="M8" s="56">
        <v>4419.2</v>
      </c>
      <c r="N8" s="57">
        <v>4696.7</v>
      </c>
      <c r="S8" s="58"/>
    </row>
    <row r="9" spans="1:19" s="41" customFormat="1" ht="8.4" x14ac:dyDescent="0.15">
      <c r="A9" s="53"/>
      <c r="B9" s="54" t="s">
        <v>23</v>
      </c>
      <c r="C9" s="56">
        <v>8269.7999999999993</v>
      </c>
      <c r="D9" s="56">
        <v>8007.3</v>
      </c>
      <c r="E9" s="56">
        <v>7662.3</v>
      </c>
      <c r="F9" s="56">
        <v>7159</v>
      </c>
      <c r="G9" s="56">
        <v>6883.3</v>
      </c>
      <c r="H9" s="56">
        <v>7385.9</v>
      </c>
      <c r="I9" s="56">
        <v>8005.9</v>
      </c>
      <c r="J9" s="56">
        <v>8194</v>
      </c>
      <c r="K9" s="56">
        <v>10174</v>
      </c>
      <c r="L9" s="56">
        <v>10084</v>
      </c>
      <c r="M9" s="56">
        <v>10514</v>
      </c>
      <c r="N9" s="57">
        <v>10059</v>
      </c>
    </row>
    <row r="10" spans="1:19" s="37" customFormat="1" ht="8.4" x14ac:dyDescent="0.15">
      <c r="A10" s="49"/>
      <c r="B10" s="50" t="s">
        <v>24</v>
      </c>
      <c r="C10" s="51">
        <v>912.7</v>
      </c>
      <c r="D10" s="51">
        <v>1175.2</v>
      </c>
      <c r="E10" s="51">
        <v>1065.2</v>
      </c>
      <c r="F10" s="51">
        <v>847.5</v>
      </c>
      <c r="G10" s="51">
        <v>963</v>
      </c>
      <c r="H10" s="51">
        <v>1796.6</v>
      </c>
      <c r="I10" s="51">
        <v>1916.6</v>
      </c>
      <c r="J10" s="51">
        <v>1988.6</v>
      </c>
      <c r="K10" s="51">
        <v>2141.1999999999998</v>
      </c>
      <c r="L10" s="51">
        <v>2643.7</v>
      </c>
      <c r="M10" s="51">
        <v>2653.7</v>
      </c>
      <c r="N10" s="52">
        <v>2831.2</v>
      </c>
      <c r="S10" s="38"/>
    </row>
    <row r="11" spans="1:19" s="41" customFormat="1" ht="8.4" x14ac:dyDescent="0.15">
      <c r="A11" s="53"/>
      <c r="B11" s="54" t="s">
        <v>25</v>
      </c>
      <c r="C11" s="56">
        <v>912.7</v>
      </c>
      <c r="D11" s="56">
        <v>1175.2</v>
      </c>
      <c r="E11" s="56">
        <v>1065.2</v>
      </c>
      <c r="F11" s="56">
        <v>847.5</v>
      </c>
      <c r="G11" s="56">
        <v>862</v>
      </c>
      <c r="H11" s="56">
        <v>1193.8</v>
      </c>
      <c r="I11" s="56">
        <v>1163.8</v>
      </c>
      <c r="J11" s="56">
        <v>1236.8</v>
      </c>
      <c r="K11" s="56">
        <v>1211.8</v>
      </c>
      <c r="L11" s="56">
        <v>1661.8</v>
      </c>
      <c r="M11" s="56">
        <v>1651.8</v>
      </c>
      <c r="N11" s="57">
        <v>1861.8</v>
      </c>
      <c r="S11" s="58"/>
    </row>
    <row r="12" spans="1:19" s="42" customFormat="1" ht="8.4" x14ac:dyDescent="0.15">
      <c r="A12" s="45">
        <v>2</v>
      </c>
      <c r="B12" s="46" t="s">
        <v>26</v>
      </c>
      <c r="C12" s="47">
        <v>3302.2</v>
      </c>
      <c r="D12" s="47">
        <v>3302.2</v>
      </c>
      <c r="E12" s="47">
        <v>3302.2</v>
      </c>
      <c r="F12" s="47">
        <v>3222.2</v>
      </c>
      <c r="G12" s="47">
        <v>3222.2</v>
      </c>
      <c r="H12" s="47">
        <v>3222.2</v>
      </c>
      <c r="I12" s="47">
        <v>3222.2</v>
      </c>
      <c r="J12" s="47">
        <v>3222.2</v>
      </c>
      <c r="K12" s="47">
        <v>3222.2</v>
      </c>
      <c r="L12" s="47">
        <v>3872.2</v>
      </c>
      <c r="M12" s="47">
        <v>3872.2</v>
      </c>
      <c r="N12" s="48">
        <v>3872.2</v>
      </c>
      <c r="S12" s="59"/>
    </row>
    <row r="13" spans="1:19" s="37" customFormat="1" ht="8.4" x14ac:dyDescent="0.15">
      <c r="A13" s="49"/>
      <c r="B13" s="50" t="s">
        <v>18</v>
      </c>
      <c r="C13" s="51">
        <v>2730.2</v>
      </c>
      <c r="D13" s="51">
        <v>2730.2</v>
      </c>
      <c r="E13" s="51">
        <v>2730.2</v>
      </c>
      <c r="F13" s="51">
        <v>2650.2</v>
      </c>
      <c r="G13" s="51">
        <v>2650.2</v>
      </c>
      <c r="H13" s="51">
        <v>2650.2</v>
      </c>
      <c r="I13" s="51">
        <v>2650.2</v>
      </c>
      <c r="J13" s="51">
        <v>2650.2</v>
      </c>
      <c r="K13" s="51">
        <v>2650.2</v>
      </c>
      <c r="L13" s="51">
        <v>2840.2</v>
      </c>
      <c r="M13" s="51">
        <v>3177.2</v>
      </c>
      <c r="N13" s="52">
        <v>3177.2</v>
      </c>
      <c r="P13" s="38"/>
      <c r="Q13" s="38"/>
      <c r="S13" s="38"/>
    </row>
    <row r="14" spans="1:19" s="41" customFormat="1" ht="8.4" x14ac:dyDescent="0.15">
      <c r="A14" s="53"/>
      <c r="B14" s="54" t="s">
        <v>53</v>
      </c>
      <c r="C14" s="56">
        <v>1518.6</v>
      </c>
      <c r="D14" s="56">
        <v>1518.6</v>
      </c>
      <c r="E14" s="56">
        <v>1518.6</v>
      </c>
      <c r="F14" s="56">
        <v>1518.6</v>
      </c>
      <c r="G14" s="56">
        <v>1518.6</v>
      </c>
      <c r="H14" s="56">
        <v>1518.6</v>
      </c>
      <c r="I14" s="56">
        <v>1518.6</v>
      </c>
      <c r="J14" s="56">
        <v>1518.6</v>
      </c>
      <c r="K14" s="56">
        <v>1518.6</v>
      </c>
      <c r="L14" s="56">
        <v>1518.6</v>
      </c>
      <c r="M14" s="56">
        <v>1518.6</v>
      </c>
      <c r="N14" s="57">
        <v>1518.6</v>
      </c>
      <c r="P14" s="58"/>
      <c r="Q14" s="58"/>
      <c r="S14" s="58"/>
    </row>
    <row r="15" spans="1:19" s="41" customFormat="1" ht="8.4" x14ac:dyDescent="0.15">
      <c r="A15" s="53"/>
      <c r="B15" s="54" t="s">
        <v>23</v>
      </c>
      <c r="C15" s="56">
        <v>1211.5999999999999</v>
      </c>
      <c r="D15" s="56">
        <v>1211.5999999999999</v>
      </c>
      <c r="E15" s="56">
        <v>1211.5999999999999</v>
      </c>
      <c r="F15" s="56">
        <v>1131.5999999999999</v>
      </c>
      <c r="G15" s="56">
        <v>1131.5999999999999</v>
      </c>
      <c r="H15" s="56">
        <v>1131.5999999999999</v>
      </c>
      <c r="I15" s="56">
        <v>1131.5999999999999</v>
      </c>
      <c r="J15" s="56">
        <v>1131.5999999999999</v>
      </c>
      <c r="K15" s="56">
        <v>1131.5999999999999</v>
      </c>
      <c r="L15" s="56">
        <v>1321.6</v>
      </c>
      <c r="M15" s="56">
        <v>1658.6</v>
      </c>
      <c r="N15" s="57">
        <v>1658.6</v>
      </c>
      <c r="S15" s="58"/>
    </row>
    <row r="16" spans="1:19" s="37" customFormat="1" ht="8.4" x14ac:dyDescent="0.15">
      <c r="A16" s="49"/>
      <c r="B16" s="50" t="s">
        <v>54</v>
      </c>
      <c r="C16" s="51">
        <v>572</v>
      </c>
      <c r="D16" s="51">
        <v>572</v>
      </c>
      <c r="E16" s="51">
        <v>572</v>
      </c>
      <c r="F16" s="51">
        <v>572</v>
      </c>
      <c r="G16" s="51">
        <v>572</v>
      </c>
      <c r="H16" s="51">
        <v>572</v>
      </c>
      <c r="I16" s="51">
        <v>572</v>
      </c>
      <c r="J16" s="51">
        <v>572</v>
      </c>
      <c r="K16" s="51">
        <v>572</v>
      </c>
      <c r="L16" s="51">
        <v>1032</v>
      </c>
      <c r="M16" s="51">
        <v>695</v>
      </c>
      <c r="N16" s="52">
        <v>695</v>
      </c>
      <c r="P16" s="38"/>
      <c r="Q16" s="38"/>
      <c r="S16" s="38"/>
    </row>
    <row r="17" spans="1:19" s="42" customFormat="1" ht="8.4" x14ac:dyDescent="0.15">
      <c r="A17" s="45">
        <v>3</v>
      </c>
      <c r="B17" s="46" t="s">
        <v>29</v>
      </c>
      <c r="C17" s="47">
        <v>9886.4</v>
      </c>
      <c r="D17" s="47">
        <v>9886.4</v>
      </c>
      <c r="E17" s="47">
        <v>9886.4</v>
      </c>
      <c r="F17" s="47">
        <v>9886.4</v>
      </c>
      <c r="G17" s="47">
        <v>9636.4</v>
      </c>
      <c r="H17" s="47">
        <v>9436.4</v>
      </c>
      <c r="I17" s="47">
        <v>9436.36</v>
      </c>
      <c r="J17" s="47">
        <v>9436.4</v>
      </c>
      <c r="K17" s="47">
        <v>9036.4</v>
      </c>
      <c r="L17" s="47">
        <v>9036.4</v>
      </c>
      <c r="M17" s="47">
        <v>8786.4</v>
      </c>
      <c r="N17" s="48">
        <v>10426.4</v>
      </c>
      <c r="P17" s="59"/>
      <c r="Q17" s="59"/>
      <c r="S17" s="59"/>
    </row>
    <row r="18" spans="1:19" s="37" customFormat="1" ht="8.4" x14ac:dyDescent="0.15">
      <c r="A18" s="49"/>
      <c r="B18" s="50" t="s">
        <v>18</v>
      </c>
      <c r="C18" s="51">
        <v>429.3</v>
      </c>
      <c r="D18" s="51">
        <v>402.5</v>
      </c>
      <c r="E18" s="51">
        <v>382.1</v>
      </c>
      <c r="F18" s="51">
        <v>308.5</v>
      </c>
      <c r="G18" s="51">
        <v>285.5</v>
      </c>
      <c r="H18" s="51">
        <v>173.9</v>
      </c>
      <c r="I18" s="51">
        <v>155.26</v>
      </c>
      <c r="J18" s="51">
        <v>154.5</v>
      </c>
      <c r="K18" s="51">
        <v>154.5</v>
      </c>
      <c r="L18" s="51">
        <v>154.5</v>
      </c>
      <c r="M18" s="51">
        <v>158.5</v>
      </c>
      <c r="N18" s="52">
        <v>154.5</v>
      </c>
      <c r="S18" s="38"/>
    </row>
    <row r="19" spans="1:19" s="41" customFormat="1" ht="8.4" x14ac:dyDescent="0.15">
      <c r="A19" s="53"/>
      <c r="B19" s="54" t="s">
        <v>19</v>
      </c>
      <c r="C19" s="56">
        <v>274.8</v>
      </c>
      <c r="D19" s="56">
        <v>248</v>
      </c>
      <c r="E19" s="56">
        <v>227.6</v>
      </c>
      <c r="F19" s="56">
        <v>154</v>
      </c>
      <c r="G19" s="56">
        <v>131</v>
      </c>
      <c r="H19" s="56">
        <v>19.399999999999999</v>
      </c>
      <c r="I19" s="56">
        <v>0.76</v>
      </c>
      <c r="J19" s="56">
        <v>0</v>
      </c>
      <c r="K19" s="56">
        <v>0</v>
      </c>
      <c r="L19" s="56">
        <v>0</v>
      </c>
      <c r="M19" s="56">
        <v>4</v>
      </c>
      <c r="N19" s="57">
        <v>0</v>
      </c>
      <c r="S19" s="58"/>
    </row>
    <row r="20" spans="1:19" s="41" customFormat="1" ht="8.4" x14ac:dyDescent="0.15">
      <c r="A20" s="53"/>
      <c r="B20" s="54" t="s">
        <v>23</v>
      </c>
      <c r="C20" s="56">
        <v>154.5</v>
      </c>
      <c r="D20" s="56">
        <v>154.5</v>
      </c>
      <c r="E20" s="56">
        <v>154.5</v>
      </c>
      <c r="F20" s="56">
        <v>154.5</v>
      </c>
      <c r="G20" s="56">
        <v>154.5</v>
      </c>
      <c r="H20" s="56">
        <v>154.5</v>
      </c>
      <c r="I20" s="56">
        <v>154.5</v>
      </c>
      <c r="J20" s="56">
        <v>154.5</v>
      </c>
      <c r="K20" s="56">
        <v>154.5</v>
      </c>
      <c r="L20" s="56">
        <v>154.5</v>
      </c>
      <c r="M20" s="56">
        <v>154.5</v>
      </c>
      <c r="N20" s="57">
        <v>154.5</v>
      </c>
      <c r="P20" s="58"/>
      <c r="Q20" s="58"/>
      <c r="S20" s="58"/>
    </row>
    <row r="21" spans="1:19" s="37" customFormat="1" ht="8.4" x14ac:dyDescent="0.15">
      <c r="A21" s="49"/>
      <c r="B21" s="50" t="s">
        <v>55</v>
      </c>
      <c r="C21" s="51">
        <v>9457.1</v>
      </c>
      <c r="D21" s="51">
        <v>9483.9</v>
      </c>
      <c r="E21" s="51">
        <v>9504.2999999999993</v>
      </c>
      <c r="F21" s="51">
        <v>9577.9</v>
      </c>
      <c r="G21" s="51">
        <v>9350.9</v>
      </c>
      <c r="H21" s="51">
        <v>9262.5</v>
      </c>
      <c r="I21" s="51">
        <v>9281.1</v>
      </c>
      <c r="J21" s="51">
        <v>9281.9</v>
      </c>
      <c r="K21" s="51">
        <v>8881.9</v>
      </c>
      <c r="L21" s="51">
        <v>8881.9</v>
      </c>
      <c r="M21" s="51">
        <v>8627.9</v>
      </c>
      <c r="N21" s="52">
        <v>10271.9</v>
      </c>
      <c r="P21" s="38"/>
      <c r="Q21" s="38"/>
      <c r="S21" s="38"/>
    </row>
    <row r="22" spans="1:19" s="42" customFormat="1" ht="8.4" x14ac:dyDescent="0.15">
      <c r="A22" s="45">
        <v>4</v>
      </c>
      <c r="B22" s="46" t="s">
        <v>34</v>
      </c>
      <c r="C22" s="47">
        <v>16035.6</v>
      </c>
      <c r="D22" s="47">
        <v>16035.6</v>
      </c>
      <c r="E22" s="47">
        <v>16224.1</v>
      </c>
      <c r="F22" s="47">
        <v>16224.1</v>
      </c>
      <c r="G22" s="47">
        <v>16224.1</v>
      </c>
      <c r="H22" s="47">
        <v>16224.1</v>
      </c>
      <c r="I22" s="47">
        <v>16224.1</v>
      </c>
      <c r="J22" s="47">
        <v>17191.099999999999</v>
      </c>
      <c r="K22" s="47">
        <v>17376.099999999999</v>
      </c>
      <c r="L22" s="47">
        <v>17376.099999999999</v>
      </c>
      <c r="M22" s="47">
        <v>17831.5</v>
      </c>
      <c r="N22" s="48">
        <v>17784.2</v>
      </c>
      <c r="S22" s="59"/>
    </row>
    <row r="23" spans="1:19" s="37" customFormat="1" ht="8.4" x14ac:dyDescent="0.15">
      <c r="A23" s="49"/>
      <c r="B23" s="50" t="s">
        <v>18</v>
      </c>
      <c r="C23" s="51">
        <v>14562.1</v>
      </c>
      <c r="D23" s="51">
        <v>14562.1</v>
      </c>
      <c r="E23" s="51">
        <v>14750.6</v>
      </c>
      <c r="F23" s="51">
        <v>14750.6</v>
      </c>
      <c r="G23" s="51">
        <v>14750.6</v>
      </c>
      <c r="H23" s="51">
        <v>14750.6</v>
      </c>
      <c r="I23" s="51">
        <v>14750.6</v>
      </c>
      <c r="J23" s="51">
        <v>15717.6</v>
      </c>
      <c r="K23" s="51">
        <v>15902.6</v>
      </c>
      <c r="L23" s="51">
        <v>15902.6</v>
      </c>
      <c r="M23" s="51">
        <v>16358</v>
      </c>
      <c r="N23" s="52">
        <v>16310.7</v>
      </c>
      <c r="P23" s="38"/>
      <c r="Q23" s="38"/>
      <c r="S23" s="38"/>
    </row>
    <row r="24" spans="1:19" s="41" customFormat="1" ht="8.4" x14ac:dyDescent="0.15">
      <c r="A24" s="53"/>
      <c r="B24" s="54" t="s">
        <v>56</v>
      </c>
      <c r="C24" s="56">
        <v>13775.1</v>
      </c>
      <c r="D24" s="56">
        <v>13775.1</v>
      </c>
      <c r="E24" s="56">
        <v>13963.6</v>
      </c>
      <c r="F24" s="56">
        <v>13963.6</v>
      </c>
      <c r="G24" s="56">
        <v>13963.6</v>
      </c>
      <c r="H24" s="56">
        <v>13963.6</v>
      </c>
      <c r="I24" s="56">
        <v>13963.6</v>
      </c>
      <c r="J24" s="56">
        <v>14930.6</v>
      </c>
      <c r="K24" s="56">
        <v>15115.6</v>
      </c>
      <c r="L24" s="56">
        <v>15115.6</v>
      </c>
      <c r="M24" s="56">
        <v>15571</v>
      </c>
      <c r="N24" s="57">
        <v>15523.7</v>
      </c>
      <c r="S24" s="58"/>
    </row>
    <row r="25" spans="1:19" s="41" customFormat="1" ht="8.4" x14ac:dyDescent="0.15">
      <c r="A25" s="53"/>
      <c r="B25" s="54" t="s">
        <v>23</v>
      </c>
      <c r="C25" s="56">
        <v>787</v>
      </c>
      <c r="D25" s="56">
        <v>787</v>
      </c>
      <c r="E25" s="56">
        <v>787</v>
      </c>
      <c r="F25" s="56">
        <v>787</v>
      </c>
      <c r="G25" s="56">
        <v>787</v>
      </c>
      <c r="H25" s="56">
        <v>787</v>
      </c>
      <c r="I25" s="56">
        <v>787</v>
      </c>
      <c r="J25" s="56">
        <v>787</v>
      </c>
      <c r="K25" s="56">
        <v>787</v>
      </c>
      <c r="L25" s="56">
        <v>787</v>
      </c>
      <c r="M25" s="56">
        <v>787</v>
      </c>
      <c r="N25" s="57">
        <v>787</v>
      </c>
      <c r="S25" s="58"/>
    </row>
    <row r="26" spans="1:19" s="37" customFormat="1" ht="8.4" x14ac:dyDescent="0.15">
      <c r="A26" s="49"/>
      <c r="B26" s="50" t="s">
        <v>36</v>
      </c>
      <c r="C26" s="51">
        <v>1473.5</v>
      </c>
      <c r="D26" s="51">
        <v>1473.5</v>
      </c>
      <c r="E26" s="51">
        <v>1473.5</v>
      </c>
      <c r="F26" s="51">
        <v>1473.5</v>
      </c>
      <c r="G26" s="51">
        <v>1473.5</v>
      </c>
      <c r="H26" s="51">
        <v>1473.5</v>
      </c>
      <c r="I26" s="51">
        <v>1473.5</v>
      </c>
      <c r="J26" s="51">
        <v>1473.5</v>
      </c>
      <c r="K26" s="51">
        <v>1473.5</v>
      </c>
      <c r="L26" s="51">
        <v>1473.5</v>
      </c>
      <c r="M26" s="51">
        <v>1473.5</v>
      </c>
      <c r="N26" s="52">
        <v>1473.5</v>
      </c>
      <c r="S26" s="38"/>
    </row>
    <row r="27" spans="1:19" s="37" customFormat="1" ht="8.4" x14ac:dyDescent="0.15">
      <c r="A27" s="60">
        <v>5</v>
      </c>
      <c r="B27" s="46" t="s">
        <v>57</v>
      </c>
      <c r="C27" s="47">
        <v>5201.6000000000004</v>
      </c>
      <c r="D27" s="47">
        <v>6243.3</v>
      </c>
      <c r="E27" s="47">
        <v>5630.4</v>
      </c>
      <c r="F27" s="47">
        <v>5617.1</v>
      </c>
      <c r="G27" s="47">
        <v>5622.5</v>
      </c>
      <c r="H27" s="47">
        <v>5946.4</v>
      </c>
      <c r="I27" s="47">
        <v>5457.7</v>
      </c>
      <c r="J27" s="47">
        <v>1623.4</v>
      </c>
      <c r="K27" s="47">
        <v>76.900000000000006</v>
      </c>
      <c r="L27" s="47">
        <v>843</v>
      </c>
      <c r="M27" s="47">
        <v>1124.4000000000001</v>
      </c>
      <c r="N27" s="48">
        <v>842.3</v>
      </c>
      <c r="S27" s="38"/>
    </row>
    <row r="28" spans="1:19" s="42" customFormat="1" ht="8.4" x14ac:dyDescent="0.15">
      <c r="A28" s="45">
        <v>6</v>
      </c>
      <c r="B28" s="46" t="s">
        <v>38</v>
      </c>
      <c r="C28" s="47">
        <v>43608.3</v>
      </c>
      <c r="D28" s="47">
        <v>44650</v>
      </c>
      <c r="E28" s="47">
        <v>44225.599999999999</v>
      </c>
      <c r="F28" s="47">
        <v>44132.3</v>
      </c>
      <c r="G28" s="47">
        <v>43887.7</v>
      </c>
      <c r="H28" s="47">
        <v>44011.6</v>
      </c>
      <c r="I28" s="47">
        <v>44522.86</v>
      </c>
      <c r="J28" s="47">
        <v>45636</v>
      </c>
      <c r="K28" s="47">
        <v>46698.5</v>
      </c>
      <c r="L28" s="47">
        <v>48714.6</v>
      </c>
      <c r="M28" s="47">
        <v>49201.4</v>
      </c>
      <c r="N28" s="48">
        <v>50512</v>
      </c>
      <c r="S28" s="59"/>
    </row>
    <row r="29" spans="1:19" s="37" customFormat="1" ht="8.4" x14ac:dyDescent="0.15">
      <c r="A29" s="61"/>
      <c r="B29" s="50" t="s">
        <v>18</v>
      </c>
      <c r="C29" s="51">
        <v>31193</v>
      </c>
      <c r="D29" s="51">
        <v>31945.4</v>
      </c>
      <c r="E29" s="51">
        <v>31610.6</v>
      </c>
      <c r="F29" s="51">
        <v>31661.4</v>
      </c>
      <c r="G29" s="51">
        <v>31528.3</v>
      </c>
      <c r="H29" s="51">
        <v>30907</v>
      </c>
      <c r="I29" s="51">
        <v>31279.66</v>
      </c>
      <c r="J29" s="51">
        <v>32320</v>
      </c>
      <c r="K29" s="51">
        <v>33629.9</v>
      </c>
      <c r="L29" s="51">
        <v>34683.5</v>
      </c>
      <c r="M29" s="51">
        <v>35751.300000000003</v>
      </c>
      <c r="N29" s="52">
        <v>35240.400000000001</v>
      </c>
      <c r="S29" s="38"/>
    </row>
    <row r="30" spans="1:19" s="41" customFormat="1" ht="8.4" x14ac:dyDescent="0.15">
      <c r="A30" s="62"/>
      <c r="B30" s="54" t="s">
        <v>19</v>
      </c>
      <c r="C30" s="56">
        <v>20770.099999999999</v>
      </c>
      <c r="D30" s="56">
        <v>21785</v>
      </c>
      <c r="E30" s="56">
        <v>21795.200000000001</v>
      </c>
      <c r="F30" s="56">
        <v>22429.3</v>
      </c>
      <c r="G30" s="56">
        <v>22571.9</v>
      </c>
      <c r="H30" s="56">
        <v>21448</v>
      </c>
      <c r="I30" s="56">
        <v>21200.66</v>
      </c>
      <c r="J30" s="56">
        <v>22052.9</v>
      </c>
      <c r="K30" s="56">
        <v>21382.799999999999</v>
      </c>
      <c r="L30" s="56">
        <v>22336.400000000001</v>
      </c>
      <c r="M30" s="56">
        <v>22637.200000000001</v>
      </c>
      <c r="N30" s="57">
        <v>22581.3</v>
      </c>
      <c r="S30" s="58"/>
    </row>
    <row r="31" spans="1:19" s="41" customFormat="1" ht="8.4" x14ac:dyDescent="0.15">
      <c r="A31" s="62"/>
      <c r="B31" s="54" t="s">
        <v>23</v>
      </c>
      <c r="C31" s="56">
        <v>10422.9</v>
      </c>
      <c r="D31" s="56">
        <v>10160.4</v>
      </c>
      <c r="E31" s="56">
        <v>9815.4</v>
      </c>
      <c r="F31" s="56">
        <v>9232.1</v>
      </c>
      <c r="G31" s="56">
        <v>8956.4</v>
      </c>
      <c r="H31" s="56">
        <v>9459</v>
      </c>
      <c r="I31" s="56">
        <v>10079</v>
      </c>
      <c r="J31" s="56">
        <v>10267.1</v>
      </c>
      <c r="K31" s="56">
        <v>12247.1</v>
      </c>
      <c r="L31" s="56">
        <v>12347.1</v>
      </c>
      <c r="M31" s="56">
        <v>13114.1</v>
      </c>
      <c r="N31" s="57">
        <v>12659.1</v>
      </c>
      <c r="S31" s="58"/>
    </row>
    <row r="32" spans="1:19" s="37" customFormat="1" ht="8.4" x14ac:dyDescent="0.15">
      <c r="A32" s="61"/>
      <c r="B32" s="50" t="s">
        <v>24</v>
      </c>
      <c r="C32" s="51">
        <v>12415.3</v>
      </c>
      <c r="D32" s="51">
        <v>12704.6</v>
      </c>
      <c r="E32" s="51">
        <v>12615</v>
      </c>
      <c r="F32" s="51">
        <v>12470.9</v>
      </c>
      <c r="G32" s="51">
        <v>12359.4</v>
      </c>
      <c r="H32" s="51">
        <v>13104.6</v>
      </c>
      <c r="I32" s="51">
        <v>13243.2</v>
      </c>
      <c r="J32" s="51">
        <v>13316</v>
      </c>
      <c r="K32" s="51">
        <v>13068.6</v>
      </c>
      <c r="L32" s="51">
        <v>14031.1</v>
      </c>
      <c r="M32" s="51">
        <v>13450.1</v>
      </c>
      <c r="N32" s="52">
        <v>15271.6</v>
      </c>
      <c r="P32" s="38"/>
      <c r="Q32" s="38"/>
      <c r="S32" s="38"/>
    </row>
    <row r="33" spans="1:19" s="41" customFormat="1" ht="9" thickBot="1" x14ac:dyDescent="0.2">
      <c r="A33" s="63"/>
      <c r="B33" s="64" t="s">
        <v>25</v>
      </c>
      <c r="C33" s="65">
        <v>912.7</v>
      </c>
      <c r="D33" s="65">
        <v>1175.2</v>
      </c>
      <c r="E33" s="65">
        <v>1065.2</v>
      </c>
      <c r="F33" s="65">
        <v>847.5</v>
      </c>
      <c r="G33" s="65">
        <v>862</v>
      </c>
      <c r="H33" s="65">
        <v>1193.8</v>
      </c>
      <c r="I33" s="65">
        <v>1163.8</v>
      </c>
      <c r="J33" s="65">
        <v>1236.8</v>
      </c>
      <c r="K33" s="65">
        <v>1211.8</v>
      </c>
      <c r="L33" s="65">
        <v>1661.8</v>
      </c>
      <c r="M33" s="65">
        <v>1651.8</v>
      </c>
      <c r="N33" s="66">
        <v>1861.8</v>
      </c>
      <c r="P33" s="58"/>
      <c r="Q33" s="58"/>
      <c r="S33" s="58"/>
    </row>
    <row r="34" spans="1:19" s="37" customFormat="1" ht="9" thickTop="1" x14ac:dyDescent="0.15">
      <c r="A34" s="67" t="s">
        <v>21</v>
      </c>
      <c r="B34" s="36" t="s">
        <v>58</v>
      </c>
      <c r="D34" s="38"/>
      <c r="E34" s="38"/>
      <c r="G34" s="38"/>
      <c r="H34" s="38"/>
      <c r="I34" s="38"/>
      <c r="J34" s="38"/>
      <c r="K34" s="38"/>
      <c r="L34" s="38"/>
      <c r="M34" s="38"/>
      <c r="N34" s="38"/>
      <c r="P34" s="38"/>
      <c r="Q34" s="38"/>
      <c r="S34" s="38"/>
    </row>
    <row r="35" spans="1:19" s="37" customFormat="1" ht="8.4" x14ac:dyDescent="0.15">
      <c r="A35" s="67" t="s">
        <v>59</v>
      </c>
      <c r="B35" s="36" t="s">
        <v>60</v>
      </c>
      <c r="P35" s="38"/>
      <c r="Q35" s="38"/>
      <c r="S35" s="38"/>
    </row>
    <row r="36" spans="1:19" s="37" customFormat="1" ht="8.4" x14ac:dyDescent="0.15">
      <c r="A36" s="67" t="s">
        <v>61</v>
      </c>
      <c r="B36" s="36" t="s">
        <v>62</v>
      </c>
      <c r="D36" s="38"/>
    </row>
    <row r="37" spans="1:19" s="37" customFormat="1" ht="8.4" x14ac:dyDescent="0.15">
      <c r="A37" s="68" t="s">
        <v>63</v>
      </c>
      <c r="B37" s="36" t="s">
        <v>64</v>
      </c>
      <c r="S37" s="38"/>
    </row>
    <row r="38" spans="1:19" s="37" customFormat="1" ht="8.4" x14ac:dyDescent="0.15">
      <c r="A38" s="67"/>
      <c r="B38" s="36" t="s">
        <v>65</v>
      </c>
    </row>
    <row r="39" spans="1:19" s="37" customFormat="1" ht="8.4" x14ac:dyDescent="0.15">
      <c r="A39" s="67"/>
      <c r="B39" s="36" t="s">
        <v>66</v>
      </c>
    </row>
    <row r="40" spans="1:19" s="41" customFormat="1" ht="8.4" x14ac:dyDescent="0.15">
      <c r="A40" s="69" t="s">
        <v>67</v>
      </c>
    </row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topLeftCell="A25" zoomScale="120" zoomScaleNormal="120" workbookViewId="0">
      <selection activeCell="H53" sqref="H53"/>
    </sheetView>
  </sheetViews>
  <sheetFormatPr defaultRowHeight="13.2" x14ac:dyDescent="0.25"/>
  <cols>
    <col min="1" max="1" width="6.33203125" style="354" customWidth="1"/>
    <col min="2" max="2" width="28.109375" style="354" customWidth="1"/>
    <col min="3" max="11" width="10.33203125" style="354" customWidth="1"/>
    <col min="12" max="12" width="10.33203125" style="399" customWidth="1"/>
    <col min="1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180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181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v>344508.07226089999</v>
      </c>
      <c r="D7" s="368">
        <v>344508.07242609002</v>
      </c>
      <c r="E7" s="368">
        <v>329670.57242609002</v>
      </c>
      <c r="F7" s="389">
        <v>329670.57242609002</v>
      </c>
      <c r="G7" s="389">
        <v>333845.59742608998</v>
      </c>
      <c r="H7" s="389">
        <v>329675.62242609006</v>
      </c>
      <c r="I7" s="389">
        <v>342675.57242609008</v>
      </c>
      <c r="J7" s="389">
        <v>363675.57242608996</v>
      </c>
      <c r="K7" s="389">
        <v>378675.57242609002</v>
      </c>
      <c r="L7" s="389">
        <v>426175.57242609002</v>
      </c>
      <c r="M7" s="389">
        <v>442205.57242609002</v>
      </c>
      <c r="N7" s="388">
        <v>457815.57242608996</v>
      </c>
    </row>
    <row r="8" spans="1:14" s="355" customFormat="1" ht="10.199999999999999" x14ac:dyDescent="0.2">
      <c r="A8" s="366"/>
      <c r="B8" s="365" t="s">
        <v>135</v>
      </c>
      <c r="C8" s="364">
        <v>43183.322260900008</v>
      </c>
      <c r="D8" s="364">
        <v>61483.322426090002</v>
      </c>
      <c r="E8" s="364">
        <v>87293.322426090002</v>
      </c>
      <c r="F8" s="364">
        <v>87293.322426090002</v>
      </c>
      <c r="G8" s="364">
        <v>101437.32242608999</v>
      </c>
      <c r="H8" s="364">
        <v>95229.822426089988</v>
      </c>
      <c r="I8" s="364">
        <v>85729.822426089988</v>
      </c>
      <c r="J8" s="364">
        <v>71129.822426089988</v>
      </c>
      <c r="K8" s="364">
        <v>56489.822426089995</v>
      </c>
      <c r="L8" s="396">
        <v>65368.622426090005</v>
      </c>
      <c r="M8" s="364">
        <v>58905.222426090004</v>
      </c>
      <c r="N8" s="363">
        <v>45352.722426090004</v>
      </c>
    </row>
    <row r="9" spans="1:14" s="355" customFormat="1" ht="10.199999999999999" x14ac:dyDescent="0.2">
      <c r="A9" s="366"/>
      <c r="B9" s="365" t="s">
        <v>136</v>
      </c>
      <c r="C9" s="364">
        <v>286433.72499999998</v>
      </c>
      <c r="D9" s="364">
        <v>267369.22499999998</v>
      </c>
      <c r="E9" s="364">
        <v>228967.22500000001</v>
      </c>
      <c r="F9" s="364">
        <v>228967.22500000001</v>
      </c>
      <c r="G9" s="364">
        <v>215057.77499999999</v>
      </c>
      <c r="H9" s="364">
        <v>216488.77500000002</v>
      </c>
      <c r="I9" s="364">
        <v>232346.27500000002</v>
      </c>
      <c r="J9" s="364">
        <v>261185.77499999999</v>
      </c>
      <c r="K9" s="364">
        <v>281835.77500000002</v>
      </c>
      <c r="L9" s="396">
        <v>310077.92500000005</v>
      </c>
      <c r="M9" s="364">
        <v>327601.42500000005</v>
      </c>
      <c r="N9" s="363">
        <v>353185.07500000001</v>
      </c>
    </row>
    <row r="10" spans="1:14" s="355" customFormat="1" ht="10.199999999999999" x14ac:dyDescent="0.2">
      <c r="A10" s="366"/>
      <c r="B10" s="365" t="s">
        <v>154</v>
      </c>
      <c r="C10" s="364">
        <v>11030</v>
      </c>
      <c r="D10" s="364">
        <v>11410</v>
      </c>
      <c r="E10" s="364">
        <v>9700</v>
      </c>
      <c r="F10" s="364">
        <v>9700</v>
      </c>
      <c r="G10" s="364">
        <v>12180</v>
      </c>
      <c r="H10" s="364">
        <v>12595</v>
      </c>
      <c r="I10" s="364">
        <v>17275</v>
      </c>
      <c r="J10" s="364">
        <v>18090</v>
      </c>
      <c r="K10" s="364">
        <v>23395</v>
      </c>
      <c r="L10" s="396">
        <v>25316.85</v>
      </c>
      <c r="M10" s="364">
        <v>24294.55</v>
      </c>
      <c r="N10" s="363">
        <v>25026.925000000003</v>
      </c>
    </row>
    <row r="11" spans="1:14" s="355" customFormat="1" ht="10.199999999999999" x14ac:dyDescent="0.2">
      <c r="A11" s="366"/>
      <c r="B11" s="365" t="s">
        <v>155</v>
      </c>
      <c r="C11" s="364">
        <v>3451.0249999999996</v>
      </c>
      <c r="D11" s="364">
        <v>3475.5250000000001</v>
      </c>
      <c r="E11" s="364">
        <v>2953.0250000000001</v>
      </c>
      <c r="F11" s="364">
        <v>2953.0250000000001</v>
      </c>
      <c r="G11" s="364">
        <v>2655.6</v>
      </c>
      <c r="H11" s="364">
        <v>2718.125</v>
      </c>
      <c r="I11" s="364">
        <v>2945.5749999999998</v>
      </c>
      <c r="J11" s="364">
        <v>3390.6</v>
      </c>
      <c r="K11" s="364">
        <v>3685.6</v>
      </c>
      <c r="L11" s="396">
        <v>3286.5999999999995</v>
      </c>
      <c r="M11" s="364">
        <v>2993.5249999999996</v>
      </c>
      <c r="N11" s="363">
        <v>2060</v>
      </c>
    </row>
    <row r="12" spans="1:14" s="355" customFormat="1" ht="10.199999999999999" x14ac:dyDescent="0.2">
      <c r="A12" s="366"/>
      <c r="B12" s="365" t="s">
        <v>156</v>
      </c>
      <c r="C12" s="364">
        <v>410</v>
      </c>
      <c r="D12" s="364">
        <v>770</v>
      </c>
      <c r="E12" s="364">
        <v>757</v>
      </c>
      <c r="F12" s="364">
        <v>757</v>
      </c>
      <c r="G12" s="364">
        <v>2514.8999999999996</v>
      </c>
      <c r="H12" s="364">
        <v>2643.8999999999996</v>
      </c>
      <c r="I12" s="364">
        <v>4378.8999999999996</v>
      </c>
      <c r="J12" s="364">
        <v>9879.375</v>
      </c>
      <c r="K12" s="364">
        <v>13269.375</v>
      </c>
      <c r="L12" s="396">
        <v>22125.574999999997</v>
      </c>
      <c r="M12" s="364">
        <v>28410.85</v>
      </c>
      <c r="N12" s="363">
        <v>32190.85</v>
      </c>
    </row>
    <row r="13" spans="1:14" s="355" customFormat="1" ht="10.199999999999999" x14ac:dyDescent="0.2">
      <c r="A13" s="370">
        <v>2</v>
      </c>
      <c r="B13" s="369" t="s">
        <v>112</v>
      </c>
      <c r="C13" s="368">
        <v>615447.00000000035</v>
      </c>
      <c r="D13" s="368">
        <v>615447.00000000035</v>
      </c>
      <c r="E13" s="368">
        <v>615447.00000000035</v>
      </c>
      <c r="F13" s="368">
        <v>610447.02500000026</v>
      </c>
      <c r="G13" s="368">
        <v>620447.00000000035</v>
      </c>
      <c r="H13" s="368">
        <v>625447.00000000035</v>
      </c>
      <c r="I13" s="368">
        <v>640447.00000000023</v>
      </c>
      <c r="J13" s="368">
        <v>633447.00000000023</v>
      </c>
      <c r="K13" s="368">
        <v>643447.00000000023</v>
      </c>
      <c r="L13" s="389">
        <v>623447.00000000012</v>
      </c>
      <c r="M13" s="368">
        <v>643446.94999999995</v>
      </c>
      <c r="N13" s="367">
        <v>656446.94999999995</v>
      </c>
    </row>
    <row r="14" spans="1:14" s="355" customFormat="1" ht="10.199999999999999" x14ac:dyDescent="0.2">
      <c r="A14" s="366"/>
      <c r="B14" s="365" t="s">
        <v>135</v>
      </c>
      <c r="C14" s="364">
        <v>32082.025000000001</v>
      </c>
      <c r="D14" s="364">
        <v>32082.025000000001</v>
      </c>
      <c r="E14" s="364">
        <v>32082.025000000001</v>
      </c>
      <c r="F14" s="364">
        <v>32082.025000000001</v>
      </c>
      <c r="G14" s="364">
        <v>32082.025000000001</v>
      </c>
      <c r="H14" s="364">
        <v>32082.025000000001</v>
      </c>
      <c r="I14" s="364">
        <v>32082.025000000001</v>
      </c>
      <c r="J14" s="364">
        <v>30192.3</v>
      </c>
      <c r="K14" s="364">
        <v>30192.3</v>
      </c>
      <c r="L14" s="396">
        <v>27198.974999999999</v>
      </c>
      <c r="M14" s="364">
        <v>27198.974999999999</v>
      </c>
      <c r="N14" s="363">
        <v>24948.974999999999</v>
      </c>
    </row>
    <row r="15" spans="1:14" s="355" customFormat="1" ht="10.199999999999999" x14ac:dyDescent="0.2">
      <c r="A15" s="366"/>
      <c r="B15" s="365" t="s">
        <v>136</v>
      </c>
      <c r="C15" s="364">
        <v>502767.47500000027</v>
      </c>
      <c r="D15" s="364">
        <v>502767.47500000027</v>
      </c>
      <c r="E15" s="364">
        <v>502767.47500000027</v>
      </c>
      <c r="F15" s="364">
        <v>498302.47500000027</v>
      </c>
      <c r="G15" s="364">
        <v>507202.47500000027</v>
      </c>
      <c r="H15" s="364">
        <v>511007.47500000027</v>
      </c>
      <c r="I15" s="364">
        <v>522687.47500000027</v>
      </c>
      <c r="J15" s="364">
        <v>517678.70000000019</v>
      </c>
      <c r="K15" s="364">
        <v>526588.70000000019</v>
      </c>
      <c r="L15" s="396">
        <v>508515.77500000008</v>
      </c>
      <c r="M15" s="364">
        <v>524922.02500000002</v>
      </c>
      <c r="N15" s="363">
        <v>538322.02500000002</v>
      </c>
    </row>
    <row r="16" spans="1:14" s="355" customFormat="1" ht="10.199999999999999" x14ac:dyDescent="0.2">
      <c r="A16" s="366"/>
      <c r="B16" s="365" t="s">
        <v>154</v>
      </c>
      <c r="C16" s="364">
        <v>58225.424999999996</v>
      </c>
      <c r="D16" s="364">
        <v>58225.424999999996</v>
      </c>
      <c r="E16" s="364">
        <v>58225.424999999996</v>
      </c>
      <c r="F16" s="364">
        <v>57695.424999999996</v>
      </c>
      <c r="G16" s="364">
        <v>58245.424999999996</v>
      </c>
      <c r="H16" s="364">
        <v>58935.424999999996</v>
      </c>
      <c r="I16" s="364">
        <v>59995.625</v>
      </c>
      <c r="J16" s="364">
        <v>59995.625</v>
      </c>
      <c r="K16" s="364">
        <v>61085.625</v>
      </c>
      <c r="L16" s="396">
        <v>62311.875</v>
      </c>
      <c r="M16" s="364">
        <v>64870.625</v>
      </c>
      <c r="N16" s="363">
        <v>66520.625</v>
      </c>
    </row>
    <row r="17" spans="1:14" s="355" customFormat="1" ht="10.199999999999999" x14ac:dyDescent="0.2">
      <c r="A17" s="366"/>
      <c r="B17" s="365" t="s">
        <v>155</v>
      </c>
      <c r="C17" s="364">
        <v>18050.400000000001</v>
      </c>
      <c r="D17" s="364">
        <v>18050.400000000001</v>
      </c>
      <c r="E17" s="364">
        <v>18050.400000000001</v>
      </c>
      <c r="F17" s="364">
        <v>18050.400000000001</v>
      </c>
      <c r="G17" s="364">
        <v>18250.400000000001</v>
      </c>
      <c r="H17" s="364">
        <v>18300.400000000001</v>
      </c>
      <c r="I17" s="364">
        <v>18310.2</v>
      </c>
      <c r="J17" s="364">
        <v>18223.699999999997</v>
      </c>
      <c r="K17" s="364">
        <v>18223.699999999997</v>
      </c>
      <c r="L17" s="396">
        <v>17763.699999999997</v>
      </c>
      <c r="M17" s="364">
        <v>17818.699999999997</v>
      </c>
      <c r="N17" s="363">
        <v>17968.699999999997</v>
      </c>
    </row>
    <row r="18" spans="1:14" s="355" customFormat="1" ht="10.199999999999999" x14ac:dyDescent="0.2">
      <c r="A18" s="366"/>
      <c r="B18" s="365" t="s">
        <v>140</v>
      </c>
      <c r="C18" s="364">
        <v>4321.6750000000002</v>
      </c>
      <c r="D18" s="364">
        <v>4321.6750000000002</v>
      </c>
      <c r="E18" s="364">
        <v>4321.6750000000002</v>
      </c>
      <c r="F18" s="364">
        <v>4316.7</v>
      </c>
      <c r="G18" s="364">
        <v>4666.6750000000002</v>
      </c>
      <c r="H18" s="364">
        <v>5121.6750000000002</v>
      </c>
      <c r="I18" s="364">
        <v>7371.6750000000002</v>
      </c>
      <c r="J18" s="364">
        <v>7356.6750000000002</v>
      </c>
      <c r="K18" s="364">
        <v>7356.6750000000002</v>
      </c>
      <c r="L18" s="396">
        <v>7656.6750000000002</v>
      </c>
      <c r="M18" s="364">
        <v>8636.625</v>
      </c>
      <c r="N18" s="363">
        <v>8686.625</v>
      </c>
    </row>
    <row r="19" spans="1:14" s="355" customFormat="1" ht="10.199999999999999" x14ac:dyDescent="0.2">
      <c r="A19" s="370">
        <v>3</v>
      </c>
      <c r="B19" s="369" t="s">
        <v>113</v>
      </c>
      <c r="C19" s="368">
        <v>0</v>
      </c>
      <c r="D19" s="368">
        <v>0</v>
      </c>
      <c r="E19" s="368">
        <v>0</v>
      </c>
      <c r="F19" s="368">
        <v>0</v>
      </c>
      <c r="G19" s="368">
        <v>0</v>
      </c>
      <c r="H19" s="368">
        <v>0</v>
      </c>
      <c r="I19" s="368">
        <v>0</v>
      </c>
      <c r="J19" s="368">
        <v>0</v>
      </c>
      <c r="K19" s="368">
        <v>0</v>
      </c>
      <c r="L19" s="389">
        <v>0</v>
      </c>
      <c r="M19" s="368">
        <v>0</v>
      </c>
      <c r="N19" s="367">
        <v>0</v>
      </c>
    </row>
    <row r="20" spans="1:14" s="355" customFormat="1" ht="10.199999999999999" x14ac:dyDescent="0.2">
      <c r="A20" s="366"/>
      <c r="B20" s="365" t="s">
        <v>135</v>
      </c>
      <c r="C20" s="364">
        <v>0</v>
      </c>
      <c r="D20" s="364">
        <v>0</v>
      </c>
      <c r="E20" s="364">
        <v>0</v>
      </c>
      <c r="F20" s="364">
        <v>0</v>
      </c>
      <c r="G20" s="364">
        <v>0</v>
      </c>
      <c r="H20" s="364">
        <v>0</v>
      </c>
      <c r="I20" s="364">
        <v>0</v>
      </c>
      <c r="J20" s="364">
        <v>0</v>
      </c>
      <c r="K20" s="364">
        <v>0</v>
      </c>
      <c r="L20" s="396">
        <v>0</v>
      </c>
      <c r="M20" s="364">
        <v>0</v>
      </c>
      <c r="N20" s="363">
        <v>0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64">
        <v>0</v>
      </c>
      <c r="K21" s="364">
        <v>0</v>
      </c>
      <c r="L21" s="396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64">
        <v>0</v>
      </c>
      <c r="K22" s="364">
        <v>0</v>
      </c>
      <c r="L22" s="396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64">
        <v>0</v>
      </c>
      <c r="K23" s="364">
        <v>0</v>
      </c>
      <c r="L23" s="396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0</v>
      </c>
      <c r="D24" s="364">
        <v>0</v>
      </c>
      <c r="E24" s="364">
        <v>0</v>
      </c>
      <c r="F24" s="364">
        <v>0</v>
      </c>
      <c r="G24" s="364">
        <v>0</v>
      </c>
      <c r="H24" s="364">
        <v>0</v>
      </c>
      <c r="I24" s="364">
        <v>0</v>
      </c>
      <c r="J24" s="364">
        <v>0</v>
      </c>
      <c r="K24" s="364">
        <v>0</v>
      </c>
      <c r="L24" s="396">
        <v>0</v>
      </c>
      <c r="M24" s="364">
        <v>0</v>
      </c>
      <c r="N24" s="363">
        <v>0</v>
      </c>
    </row>
    <row r="25" spans="1:14" s="355" customFormat="1" ht="10.199999999999999" x14ac:dyDescent="0.2">
      <c r="A25" s="370">
        <v>4</v>
      </c>
      <c r="B25" s="369" t="s">
        <v>114</v>
      </c>
      <c r="C25" s="368">
        <v>9140</v>
      </c>
      <c r="D25" s="368">
        <v>9140</v>
      </c>
      <c r="E25" s="368">
        <v>9140</v>
      </c>
      <c r="F25" s="368">
        <v>9140</v>
      </c>
      <c r="G25" s="368">
        <v>8900.7799999999988</v>
      </c>
      <c r="H25" s="368">
        <v>8900.7799999999988</v>
      </c>
      <c r="I25" s="368">
        <v>8900.7799999999988</v>
      </c>
      <c r="J25" s="389">
        <v>8900.7799999999988</v>
      </c>
      <c r="K25" s="368">
        <v>10736.939999999999</v>
      </c>
      <c r="L25" s="389">
        <v>10736.939999999999</v>
      </c>
      <c r="M25" s="368">
        <v>10750.27</v>
      </c>
      <c r="N25" s="367">
        <v>10750.300000000001</v>
      </c>
    </row>
    <row r="26" spans="1:14" s="355" customFormat="1" ht="10.199999999999999" x14ac:dyDescent="0.2">
      <c r="A26" s="366"/>
      <c r="B26" s="365" t="s">
        <v>141</v>
      </c>
      <c r="C26" s="364">
        <v>3014.78</v>
      </c>
      <c r="D26" s="364">
        <v>3030.5400000000004</v>
      </c>
      <c r="E26" s="364">
        <v>3103.46</v>
      </c>
      <c r="F26" s="364">
        <v>3129.41</v>
      </c>
      <c r="G26" s="364">
        <v>3061.8699999999994</v>
      </c>
      <c r="H26" s="364">
        <v>3083.4999999999995</v>
      </c>
      <c r="I26" s="364">
        <v>3107.8099999999995</v>
      </c>
      <c r="J26" s="396">
        <v>3940.29</v>
      </c>
      <c r="K26" s="364">
        <v>3757.75</v>
      </c>
      <c r="L26" s="396">
        <v>3981.58</v>
      </c>
      <c r="M26" s="364">
        <v>3887.8500000000004</v>
      </c>
      <c r="N26" s="363">
        <v>3901.23</v>
      </c>
    </row>
    <row r="27" spans="1:14" s="355" customFormat="1" ht="10.199999999999999" x14ac:dyDescent="0.2">
      <c r="A27" s="366"/>
      <c r="B27" s="365" t="s">
        <v>136</v>
      </c>
      <c r="C27" s="364">
        <v>0</v>
      </c>
      <c r="D27" s="364">
        <v>0</v>
      </c>
      <c r="E27" s="364">
        <v>0</v>
      </c>
      <c r="F27" s="364">
        <v>0</v>
      </c>
      <c r="G27" s="364">
        <v>0</v>
      </c>
      <c r="H27" s="364">
        <v>0</v>
      </c>
      <c r="I27" s="364">
        <v>0</v>
      </c>
      <c r="J27" s="396">
        <v>0</v>
      </c>
      <c r="K27" s="364">
        <v>0</v>
      </c>
      <c r="L27" s="396">
        <v>0</v>
      </c>
      <c r="M27" s="364">
        <v>0</v>
      </c>
      <c r="N27" s="363">
        <v>0</v>
      </c>
    </row>
    <row r="28" spans="1:14" s="355" customFormat="1" ht="10.199999999999999" x14ac:dyDescent="0.2">
      <c r="A28" s="366"/>
      <c r="B28" s="365" t="s">
        <v>154</v>
      </c>
      <c r="C28" s="364">
        <v>0</v>
      </c>
      <c r="D28" s="364">
        <v>0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  <c r="J28" s="396">
        <v>0</v>
      </c>
      <c r="K28" s="364">
        <v>0</v>
      </c>
      <c r="L28" s="396">
        <v>0</v>
      </c>
      <c r="M28" s="364">
        <v>0</v>
      </c>
      <c r="N28" s="363">
        <v>0</v>
      </c>
    </row>
    <row r="29" spans="1:14" s="355" customFormat="1" ht="10.199999999999999" x14ac:dyDescent="0.2">
      <c r="A29" s="366"/>
      <c r="B29" s="365" t="s">
        <v>155</v>
      </c>
      <c r="C29" s="364">
        <v>0</v>
      </c>
      <c r="D29" s="364">
        <v>0</v>
      </c>
      <c r="E29" s="364">
        <v>0</v>
      </c>
      <c r="F29" s="364">
        <v>0</v>
      </c>
      <c r="G29" s="364">
        <v>0</v>
      </c>
      <c r="H29" s="364">
        <v>0</v>
      </c>
      <c r="I29" s="364">
        <v>0</v>
      </c>
      <c r="J29" s="396">
        <v>0</v>
      </c>
      <c r="K29" s="364">
        <v>0</v>
      </c>
      <c r="L29" s="396">
        <v>0</v>
      </c>
      <c r="M29" s="364">
        <v>0</v>
      </c>
      <c r="N29" s="363">
        <v>0</v>
      </c>
    </row>
    <row r="30" spans="1:14" s="355" customFormat="1" ht="10.199999999999999" x14ac:dyDescent="0.2">
      <c r="A30" s="366"/>
      <c r="B30" s="365" t="s">
        <v>156</v>
      </c>
      <c r="C30" s="364">
        <v>6125.22</v>
      </c>
      <c r="D30" s="364">
        <v>6109.4599999999991</v>
      </c>
      <c r="E30" s="364">
        <v>6036.54</v>
      </c>
      <c r="F30" s="364">
        <v>6010.59</v>
      </c>
      <c r="G30" s="364">
        <v>5838.91</v>
      </c>
      <c r="H30" s="364">
        <v>5817.28</v>
      </c>
      <c r="I30" s="364">
        <v>5792.97</v>
      </c>
      <c r="J30" s="396">
        <v>4960.49</v>
      </c>
      <c r="K30" s="364">
        <v>6979.19</v>
      </c>
      <c r="L30" s="396">
        <v>6755.36</v>
      </c>
      <c r="M30" s="364">
        <v>6862.42</v>
      </c>
      <c r="N30" s="363">
        <v>6849.0700000000015</v>
      </c>
    </row>
    <row r="31" spans="1:14" s="355" customFormat="1" ht="10.199999999999999" x14ac:dyDescent="0.2">
      <c r="A31" s="370">
        <v>5</v>
      </c>
      <c r="B31" s="369" t="s">
        <v>157</v>
      </c>
      <c r="C31" s="386">
        <v>190.20000000000002</v>
      </c>
      <c r="D31" s="386">
        <v>190.2</v>
      </c>
      <c r="E31" s="386">
        <v>190.19999999999996</v>
      </c>
      <c r="F31" s="386">
        <v>190.19999999999996</v>
      </c>
      <c r="G31" s="386">
        <v>190.19999999999996</v>
      </c>
      <c r="H31" s="386">
        <v>161.96999999999997</v>
      </c>
      <c r="I31" s="386">
        <v>161.96999999999997</v>
      </c>
      <c r="J31" s="386">
        <v>153.01999999999998</v>
      </c>
      <c r="K31" s="386">
        <v>175.45</v>
      </c>
      <c r="L31" s="386">
        <v>175.45</v>
      </c>
      <c r="M31" s="386">
        <v>179.41</v>
      </c>
      <c r="N31" s="385">
        <v>175.40999999999997</v>
      </c>
    </row>
    <row r="32" spans="1:14" s="355" customFormat="1" ht="10.199999999999999" x14ac:dyDescent="0.2">
      <c r="A32" s="366"/>
      <c r="B32" s="365" t="s">
        <v>135</v>
      </c>
      <c r="C32" s="383">
        <v>3</v>
      </c>
      <c r="D32" s="383">
        <v>4.5</v>
      </c>
      <c r="E32" s="383">
        <v>4.5</v>
      </c>
      <c r="F32" s="383">
        <v>4.5</v>
      </c>
      <c r="G32" s="383">
        <v>9.5</v>
      </c>
      <c r="H32" s="383">
        <v>9.5</v>
      </c>
      <c r="I32" s="383">
        <v>9.5</v>
      </c>
      <c r="J32" s="397">
        <v>9.5</v>
      </c>
      <c r="K32" s="397">
        <v>9.5</v>
      </c>
      <c r="L32" s="397">
        <v>9.5</v>
      </c>
      <c r="M32" s="383">
        <v>9.5</v>
      </c>
      <c r="N32" s="382">
        <v>6.5</v>
      </c>
    </row>
    <row r="33" spans="1:14" s="355" customFormat="1" ht="10.199999999999999" x14ac:dyDescent="0.2">
      <c r="A33" s="366"/>
      <c r="B33" s="365" t="s">
        <v>158</v>
      </c>
      <c r="C33" s="364">
        <v>187.20000000000002</v>
      </c>
      <c r="D33" s="364">
        <v>185.7</v>
      </c>
      <c r="E33" s="364">
        <v>185.69999999999996</v>
      </c>
      <c r="F33" s="364">
        <v>185.69999999999996</v>
      </c>
      <c r="G33" s="364">
        <v>180.69999999999996</v>
      </c>
      <c r="H33" s="364">
        <v>152.46999999999997</v>
      </c>
      <c r="I33" s="364">
        <v>152.46999999999997</v>
      </c>
      <c r="J33" s="396">
        <v>143.51999999999998</v>
      </c>
      <c r="K33" s="396">
        <v>165.95</v>
      </c>
      <c r="L33" s="396">
        <v>165.95</v>
      </c>
      <c r="M33" s="364">
        <v>169.91</v>
      </c>
      <c r="N33" s="363">
        <v>168.90999999999997</v>
      </c>
    </row>
    <row r="34" spans="1:14" s="373" customFormat="1" ht="10.199999999999999" hidden="1" x14ac:dyDescent="0.2">
      <c r="A34" s="381">
        <v>6</v>
      </c>
      <c r="B34" s="380" t="s">
        <v>115</v>
      </c>
      <c r="C34" s="379">
        <v>0</v>
      </c>
      <c r="D34" s="379">
        <v>0</v>
      </c>
      <c r="E34" s="379">
        <v>0</v>
      </c>
      <c r="F34" s="379">
        <v>0</v>
      </c>
      <c r="G34" s="379">
        <v>0</v>
      </c>
      <c r="H34" s="379">
        <v>0</v>
      </c>
      <c r="I34" s="379">
        <v>0</v>
      </c>
      <c r="J34" s="379">
        <v>0</v>
      </c>
      <c r="K34" s="379">
        <v>0</v>
      </c>
      <c r="L34" s="389">
        <v>0</v>
      </c>
      <c r="M34" s="379">
        <v>0</v>
      </c>
      <c r="N34" s="378">
        <v>0</v>
      </c>
    </row>
    <row r="35" spans="1:14" s="373" customFormat="1" ht="10.199999999999999" hidden="1" x14ac:dyDescent="0.2">
      <c r="A35" s="377"/>
      <c r="B35" s="376" t="s">
        <v>135</v>
      </c>
      <c r="C35" s="375">
        <v>0</v>
      </c>
      <c r="D35" s="375">
        <v>0</v>
      </c>
      <c r="E35" s="375">
        <v>0</v>
      </c>
      <c r="F35" s="375">
        <v>0</v>
      </c>
      <c r="G35" s="375">
        <v>0</v>
      </c>
      <c r="H35" s="375">
        <v>0</v>
      </c>
      <c r="I35" s="375">
        <v>0</v>
      </c>
      <c r="J35" s="375">
        <v>0</v>
      </c>
      <c r="K35" s="375">
        <v>0</v>
      </c>
      <c r="L35" s="396">
        <v>0</v>
      </c>
      <c r="M35" s="375">
        <v>0</v>
      </c>
      <c r="N35" s="398">
        <v>0</v>
      </c>
    </row>
    <row r="36" spans="1:14" s="373" customFormat="1" ht="10.199999999999999" hidden="1" x14ac:dyDescent="0.2">
      <c r="A36" s="377"/>
      <c r="B36" s="376" t="s">
        <v>159</v>
      </c>
      <c r="C36" s="375">
        <v>0</v>
      </c>
      <c r="D36" s="375">
        <v>0</v>
      </c>
      <c r="E36" s="375">
        <v>0</v>
      </c>
      <c r="F36" s="375">
        <v>0</v>
      </c>
      <c r="G36" s="375">
        <v>0</v>
      </c>
      <c r="H36" s="375">
        <v>0</v>
      </c>
      <c r="I36" s="375">
        <v>0</v>
      </c>
      <c r="J36" s="375">
        <v>0</v>
      </c>
      <c r="K36" s="375">
        <v>0</v>
      </c>
      <c r="L36" s="396">
        <v>0</v>
      </c>
      <c r="M36" s="375">
        <v>0</v>
      </c>
      <c r="N36" s="398">
        <v>0</v>
      </c>
    </row>
    <row r="37" spans="1:14" s="373" customFormat="1" ht="10.199999999999999" hidden="1" x14ac:dyDescent="0.2">
      <c r="A37" s="377"/>
      <c r="B37" s="376" t="s">
        <v>140</v>
      </c>
      <c r="C37" s="375">
        <v>0</v>
      </c>
      <c r="D37" s="375">
        <v>0</v>
      </c>
      <c r="E37" s="375">
        <v>0</v>
      </c>
      <c r="F37" s="375">
        <v>0</v>
      </c>
      <c r="G37" s="375">
        <v>0</v>
      </c>
      <c r="H37" s="375">
        <v>0</v>
      </c>
      <c r="I37" s="375">
        <v>0</v>
      </c>
      <c r="J37" s="375">
        <v>0</v>
      </c>
      <c r="K37" s="375">
        <v>0</v>
      </c>
      <c r="L37" s="396">
        <v>0</v>
      </c>
      <c r="M37" s="375">
        <v>0</v>
      </c>
      <c r="N37" s="398">
        <v>0</v>
      </c>
    </row>
    <row r="38" spans="1:14" s="355" customFormat="1" ht="10.199999999999999" x14ac:dyDescent="0.2">
      <c r="A38" s="370"/>
      <c r="B38" s="369" t="s">
        <v>147</v>
      </c>
      <c r="C38" s="368">
        <v>969285.27226090035</v>
      </c>
      <c r="D38" s="368">
        <v>969285.27242609032</v>
      </c>
      <c r="E38" s="368">
        <v>954447.77242609032</v>
      </c>
      <c r="F38" s="368">
        <v>949447.79742609023</v>
      </c>
      <c r="G38" s="368">
        <v>963383.57742609037</v>
      </c>
      <c r="H38" s="368">
        <v>964185.37242609041</v>
      </c>
      <c r="I38" s="368">
        <v>992185.32242609025</v>
      </c>
      <c r="J38" s="368">
        <v>1006176.3724260903</v>
      </c>
      <c r="K38" s="368">
        <v>1033034.9624260903</v>
      </c>
      <c r="L38" s="368">
        <v>1060534.9624260901</v>
      </c>
      <c r="M38" s="368">
        <v>1096582.2024260899</v>
      </c>
      <c r="N38" s="367">
        <v>1125188.2324260899</v>
      </c>
    </row>
    <row r="39" spans="1:14" s="355" customFormat="1" ht="10.199999999999999" x14ac:dyDescent="0.2">
      <c r="A39" s="370">
        <v>7</v>
      </c>
      <c r="B39" s="369" t="s">
        <v>166</v>
      </c>
      <c r="C39" s="389">
        <v>-294247.3</v>
      </c>
      <c r="D39" s="389">
        <v>-266379.40000000002</v>
      </c>
      <c r="E39" s="389">
        <v>-195624.05</v>
      </c>
      <c r="F39" s="389">
        <v>-182842.2</v>
      </c>
      <c r="G39" s="389">
        <v>-182432.83</v>
      </c>
      <c r="H39" s="389">
        <v>-199145.8</v>
      </c>
      <c r="I39" s="389">
        <v>-204922.8</v>
      </c>
      <c r="J39" s="389">
        <v>-190627.3</v>
      </c>
      <c r="K39" s="389">
        <v>-191368.28</v>
      </c>
      <c r="L39" s="389">
        <v>-180419.51</v>
      </c>
      <c r="M39" s="389">
        <v>-169662.5</v>
      </c>
      <c r="N39" s="388">
        <v>-71979.289999999994</v>
      </c>
    </row>
    <row r="40" spans="1:14" s="355" customFormat="1" ht="10.199999999999999" x14ac:dyDescent="0.2">
      <c r="A40" s="366"/>
      <c r="B40" s="365" t="s">
        <v>167</v>
      </c>
      <c r="C40" s="372">
        <v>-294247.3</v>
      </c>
      <c r="D40" s="372">
        <v>-266379.40000000002</v>
      </c>
      <c r="E40" s="372">
        <v>-195624.05</v>
      </c>
      <c r="F40" s="372">
        <v>-182842.2</v>
      </c>
      <c r="G40" s="372">
        <v>-182432.83</v>
      </c>
      <c r="H40" s="372">
        <v>-199145.8</v>
      </c>
      <c r="I40" s="372">
        <v>-204922.8</v>
      </c>
      <c r="J40" s="372">
        <v>-190627.3</v>
      </c>
      <c r="K40" s="372">
        <v>-191368.28</v>
      </c>
      <c r="L40" s="372">
        <v>-180419.51</v>
      </c>
      <c r="M40" s="372">
        <v>-169662.5</v>
      </c>
      <c r="N40" s="371">
        <v>-71979.289999999994</v>
      </c>
    </row>
    <row r="41" spans="1:14" s="355" customFormat="1" ht="10.199999999999999" x14ac:dyDescent="0.2">
      <c r="A41" s="370"/>
      <c r="B41" s="369" t="s">
        <v>147</v>
      </c>
      <c r="C41" s="368">
        <v>675037.97226090031</v>
      </c>
      <c r="D41" s="368">
        <v>702905.8724260903</v>
      </c>
      <c r="E41" s="368">
        <v>758823.72242609039</v>
      </c>
      <c r="F41" s="368">
        <v>766605.59742609039</v>
      </c>
      <c r="G41" s="368">
        <v>780950.7474260903</v>
      </c>
      <c r="H41" s="368">
        <v>765039.57242609013</v>
      </c>
      <c r="I41" s="368">
        <v>787262.5224260902</v>
      </c>
      <c r="J41" s="368">
        <v>815549.07242609025</v>
      </c>
      <c r="K41" s="368">
        <v>841666.68242609024</v>
      </c>
      <c r="L41" s="389">
        <v>880115.45242609014</v>
      </c>
      <c r="M41" s="368">
        <v>926919.70242609014</v>
      </c>
      <c r="N41" s="367">
        <v>1053208.9424260901</v>
      </c>
    </row>
    <row r="42" spans="1:14" s="355" customFormat="1" ht="10.199999999999999" x14ac:dyDescent="0.2">
      <c r="A42" s="366"/>
      <c r="B42" s="365" t="s">
        <v>135</v>
      </c>
      <c r="C42" s="364">
        <v>-215964.17273909997</v>
      </c>
      <c r="D42" s="364">
        <v>-169779.01257391</v>
      </c>
      <c r="E42" s="364">
        <v>-73140.742573909971</v>
      </c>
      <c r="F42" s="364">
        <v>-60332.942573909997</v>
      </c>
      <c r="G42" s="364">
        <v>-45842.11257391001</v>
      </c>
      <c r="H42" s="364">
        <v>-68740.952573910006</v>
      </c>
      <c r="I42" s="364">
        <v>-83993.642573910009</v>
      </c>
      <c r="J42" s="364">
        <v>-85355.387573910004</v>
      </c>
      <c r="K42" s="364">
        <v>-100918.90757391001</v>
      </c>
      <c r="L42" s="396">
        <v>-83860.832573909996</v>
      </c>
      <c r="M42" s="364">
        <v>-79660.952573909992</v>
      </c>
      <c r="N42" s="363">
        <v>2230.1374260900047</v>
      </c>
    </row>
    <row r="43" spans="1:14" s="355" customFormat="1" ht="10.199999999999999" x14ac:dyDescent="0.2">
      <c r="A43" s="366"/>
      <c r="B43" s="365" t="s">
        <v>136</v>
      </c>
      <c r="C43" s="364">
        <v>789201.20000000019</v>
      </c>
      <c r="D43" s="364">
        <v>770136.70000000019</v>
      </c>
      <c r="E43" s="364">
        <v>731734.7000000003</v>
      </c>
      <c r="F43" s="364">
        <v>727269.7000000003</v>
      </c>
      <c r="G43" s="364">
        <v>722260.25000000023</v>
      </c>
      <c r="H43" s="364">
        <v>727496.25000000023</v>
      </c>
      <c r="I43" s="364">
        <v>755033.75000000023</v>
      </c>
      <c r="J43" s="364">
        <v>778864.47500000021</v>
      </c>
      <c r="K43" s="364">
        <v>808424.47500000021</v>
      </c>
      <c r="L43" s="396">
        <v>818593.70000000019</v>
      </c>
      <c r="M43" s="364">
        <v>852523.45000000007</v>
      </c>
      <c r="N43" s="363">
        <v>891507.10000000009</v>
      </c>
    </row>
    <row r="44" spans="1:14" s="355" customFormat="1" ht="10.199999999999999" x14ac:dyDescent="0.2">
      <c r="A44" s="366"/>
      <c r="B44" s="365" t="s">
        <v>154</v>
      </c>
      <c r="C44" s="364">
        <v>69255.424999999988</v>
      </c>
      <c r="D44" s="364">
        <v>69635.424999999988</v>
      </c>
      <c r="E44" s="364">
        <v>67925.424999999988</v>
      </c>
      <c r="F44" s="364">
        <v>67395.424999999988</v>
      </c>
      <c r="G44" s="364">
        <v>70425.424999999988</v>
      </c>
      <c r="H44" s="364">
        <v>71530.424999999988</v>
      </c>
      <c r="I44" s="364">
        <v>77270.625</v>
      </c>
      <c r="J44" s="364">
        <v>78085.625</v>
      </c>
      <c r="K44" s="364">
        <v>84480.625</v>
      </c>
      <c r="L44" s="396">
        <v>87628.725000000006</v>
      </c>
      <c r="M44" s="364">
        <v>89165.175000000003</v>
      </c>
      <c r="N44" s="363">
        <v>91547.55</v>
      </c>
    </row>
    <row r="45" spans="1:14" s="355" customFormat="1" ht="10.199999999999999" x14ac:dyDescent="0.2">
      <c r="A45" s="366"/>
      <c r="B45" s="365" t="s">
        <v>155</v>
      </c>
      <c r="C45" s="364">
        <v>21501.425000000003</v>
      </c>
      <c r="D45" s="364">
        <v>21525.925000000003</v>
      </c>
      <c r="E45" s="364">
        <v>21003.425000000003</v>
      </c>
      <c r="F45" s="364">
        <v>21003.425000000003</v>
      </c>
      <c r="G45" s="364">
        <v>20906</v>
      </c>
      <c r="H45" s="364">
        <v>21018.525000000001</v>
      </c>
      <c r="I45" s="364">
        <v>21255.775000000001</v>
      </c>
      <c r="J45" s="364">
        <v>21614.299999999996</v>
      </c>
      <c r="K45" s="364">
        <v>21909.299999999996</v>
      </c>
      <c r="L45" s="396">
        <v>21050.299999999996</v>
      </c>
      <c r="M45" s="364">
        <v>20812.224999999999</v>
      </c>
      <c r="N45" s="363">
        <v>20028.699999999997</v>
      </c>
    </row>
    <row r="46" spans="1:14" s="355" customFormat="1" ht="10.199999999999999" x14ac:dyDescent="0.2">
      <c r="A46" s="366"/>
      <c r="B46" s="365" t="s">
        <v>156</v>
      </c>
      <c r="C46" s="364">
        <v>11044.095000000001</v>
      </c>
      <c r="D46" s="364">
        <v>11386.834999999999</v>
      </c>
      <c r="E46" s="364">
        <v>11300.915000000001</v>
      </c>
      <c r="F46" s="364">
        <v>11269.990000000002</v>
      </c>
      <c r="G46" s="364">
        <v>13201.185000000001</v>
      </c>
      <c r="H46" s="364">
        <v>13735.324999999999</v>
      </c>
      <c r="I46" s="364">
        <v>17696.015000000003</v>
      </c>
      <c r="J46" s="364">
        <v>22340.06</v>
      </c>
      <c r="K46" s="364">
        <v>27771.19</v>
      </c>
      <c r="L46" s="396">
        <v>36703.55999999999</v>
      </c>
      <c r="M46" s="364">
        <v>44079.805</v>
      </c>
      <c r="N46" s="363">
        <v>47895.455000000002</v>
      </c>
    </row>
    <row r="47" spans="1:14" s="355" customFormat="1" ht="21" thickBot="1" x14ac:dyDescent="0.25">
      <c r="A47" s="362"/>
      <c r="B47" s="361" t="s">
        <v>161</v>
      </c>
      <c r="C47" s="360">
        <v>969285.27226090035</v>
      </c>
      <c r="D47" s="360">
        <v>969285.27242609032</v>
      </c>
      <c r="E47" s="360">
        <v>954447.77242609044</v>
      </c>
      <c r="F47" s="359">
        <v>949447.79742609034</v>
      </c>
      <c r="G47" s="359">
        <v>963383.57742609025</v>
      </c>
      <c r="H47" s="359">
        <v>964185.37242609006</v>
      </c>
      <c r="I47" s="359">
        <v>992185.32242609025</v>
      </c>
      <c r="J47" s="359">
        <v>1006176.3724260903</v>
      </c>
      <c r="K47" s="359">
        <v>1033034.9624260903</v>
      </c>
      <c r="L47" s="359">
        <v>1060534.9624260901</v>
      </c>
      <c r="M47" s="359">
        <v>1096582.2024260901</v>
      </c>
      <c r="N47" s="358">
        <v>1125188.2324260902</v>
      </c>
    </row>
    <row r="48" spans="1:14" s="355" customFormat="1" ht="10.8" thickTop="1" x14ac:dyDescent="0.2">
      <c r="A48" s="357" t="s">
        <v>162</v>
      </c>
      <c r="B48" s="356"/>
      <c r="L48" s="400"/>
    </row>
    <row r="49" spans="1:12" s="355" customFormat="1" ht="10.199999999999999" x14ac:dyDescent="0.2">
      <c r="A49" s="357" t="s">
        <v>163</v>
      </c>
      <c r="B49" s="356"/>
      <c r="L49" s="400"/>
    </row>
    <row r="50" spans="1:12" s="355" customFormat="1" ht="10.199999999999999" x14ac:dyDescent="0.2">
      <c r="L50" s="400"/>
    </row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6"/>
  <sheetViews>
    <sheetView zoomScale="120" zoomScaleNormal="120" workbookViewId="0">
      <selection activeCell="N19" sqref="N19"/>
    </sheetView>
  </sheetViews>
  <sheetFormatPr defaultRowHeight="13.2" x14ac:dyDescent="0.25"/>
  <cols>
    <col min="1" max="1" width="6.33203125" style="354" customWidth="1"/>
    <col min="2" max="2" width="28.109375" style="354" customWidth="1"/>
    <col min="3" max="11" width="10.33203125" style="354" customWidth="1"/>
    <col min="12" max="12" width="10.33203125" style="399" customWidth="1"/>
    <col min="1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180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182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v>437705.57242609002</v>
      </c>
      <c r="D7" s="368">
        <v>426790.424</v>
      </c>
      <c r="E7" s="368">
        <v>419782.24999999994</v>
      </c>
      <c r="F7" s="389">
        <v>419782.24999999994</v>
      </c>
      <c r="G7" s="389">
        <v>426782.24999999994</v>
      </c>
      <c r="H7" s="389">
        <v>413252.25</v>
      </c>
      <c r="I7" s="389">
        <v>406152.25</v>
      </c>
      <c r="J7" s="389">
        <v>411152.25</v>
      </c>
      <c r="K7" s="389">
        <v>398692.24999999994</v>
      </c>
      <c r="L7" s="389">
        <v>408192.3</v>
      </c>
      <c r="M7" s="389">
        <v>412692.19999999995</v>
      </c>
      <c r="N7" s="388">
        <v>403692.22629999998</v>
      </c>
    </row>
    <row r="8" spans="1:14" s="355" customFormat="1" ht="10.199999999999999" x14ac:dyDescent="0.2">
      <c r="A8" s="366"/>
      <c r="B8" s="365" t="s">
        <v>135</v>
      </c>
      <c r="C8" s="364">
        <v>38263.922426090001</v>
      </c>
      <c r="D8" s="364">
        <v>23418.773999999998</v>
      </c>
      <c r="E8" s="364">
        <v>10810.599999999999</v>
      </c>
      <c r="F8" s="364">
        <v>8810.5999999999985</v>
      </c>
      <c r="G8" s="364">
        <v>5640</v>
      </c>
      <c r="H8" s="364">
        <v>4730</v>
      </c>
      <c r="I8" s="364">
        <v>4730</v>
      </c>
      <c r="J8" s="364">
        <v>4730</v>
      </c>
      <c r="K8" s="364">
        <v>0</v>
      </c>
      <c r="L8" s="396">
        <v>0</v>
      </c>
      <c r="M8" s="364">
        <v>0</v>
      </c>
      <c r="N8" s="363">
        <v>0</v>
      </c>
    </row>
    <row r="9" spans="1:14" s="355" customFormat="1" ht="10.199999999999999" x14ac:dyDescent="0.2">
      <c r="A9" s="366"/>
      <c r="B9" s="365" t="s">
        <v>136</v>
      </c>
      <c r="C9" s="364">
        <v>344801.92499999999</v>
      </c>
      <c r="D9" s="364">
        <v>349345.125</v>
      </c>
      <c r="E9" s="364">
        <v>358362.94999999995</v>
      </c>
      <c r="F9" s="364">
        <v>365042.94999999995</v>
      </c>
      <c r="G9" s="364">
        <v>383370.44999999995</v>
      </c>
      <c r="H9" s="364">
        <v>372896</v>
      </c>
      <c r="I9" s="364">
        <v>366517.5</v>
      </c>
      <c r="J9" s="364">
        <v>372447.65</v>
      </c>
      <c r="K9" s="364">
        <v>373373.39999999997</v>
      </c>
      <c r="L9" s="396">
        <v>384631.9</v>
      </c>
      <c r="M9" s="364">
        <v>380398.39999999997</v>
      </c>
      <c r="N9" s="363">
        <v>373925.19999999995</v>
      </c>
    </row>
    <row r="10" spans="1:14" s="355" customFormat="1" ht="10.199999999999999" x14ac:dyDescent="0.2">
      <c r="A10" s="366"/>
      <c r="B10" s="365" t="s">
        <v>154</v>
      </c>
      <c r="C10" s="364">
        <v>26790.074999999997</v>
      </c>
      <c r="D10" s="364">
        <v>26576.875</v>
      </c>
      <c r="E10" s="364">
        <v>22131.549999999996</v>
      </c>
      <c r="F10" s="364">
        <v>18631.55</v>
      </c>
      <c r="G10" s="364">
        <v>17546.55</v>
      </c>
      <c r="H10" s="364">
        <v>17380</v>
      </c>
      <c r="I10" s="364">
        <v>15150</v>
      </c>
      <c r="J10" s="364">
        <v>14895</v>
      </c>
      <c r="K10" s="364">
        <v>12180</v>
      </c>
      <c r="L10" s="396">
        <v>13501.800000000001</v>
      </c>
      <c r="M10" s="364">
        <v>16456.5</v>
      </c>
      <c r="N10" s="363">
        <v>14707.928199999998</v>
      </c>
    </row>
    <row r="11" spans="1:14" s="355" customFormat="1" ht="10.199999999999999" x14ac:dyDescent="0.2">
      <c r="A11" s="366"/>
      <c r="B11" s="365" t="s">
        <v>155</v>
      </c>
      <c r="C11" s="364">
        <v>1790</v>
      </c>
      <c r="D11" s="364">
        <v>2190</v>
      </c>
      <c r="E11" s="364">
        <v>3697.5</v>
      </c>
      <c r="F11" s="364">
        <v>4017.5</v>
      </c>
      <c r="G11" s="364">
        <v>3295</v>
      </c>
      <c r="H11" s="364">
        <v>3695</v>
      </c>
      <c r="I11" s="364">
        <v>4605</v>
      </c>
      <c r="J11" s="364">
        <v>4404.8500000000004</v>
      </c>
      <c r="K11" s="364">
        <v>3674.1000000000004</v>
      </c>
      <c r="L11" s="396">
        <v>4552.3</v>
      </c>
      <c r="M11" s="364">
        <v>5587.3</v>
      </c>
      <c r="N11" s="363">
        <v>5509.0981000000002</v>
      </c>
    </row>
    <row r="12" spans="1:14" s="355" customFormat="1" ht="10.199999999999999" x14ac:dyDescent="0.2">
      <c r="A12" s="366"/>
      <c r="B12" s="365" t="s">
        <v>156</v>
      </c>
      <c r="C12" s="364">
        <v>26059.65</v>
      </c>
      <c r="D12" s="364">
        <v>25259.65</v>
      </c>
      <c r="E12" s="364">
        <v>24779.65</v>
      </c>
      <c r="F12" s="364">
        <v>23279.65</v>
      </c>
      <c r="G12" s="364">
        <v>16930.25</v>
      </c>
      <c r="H12" s="364">
        <v>14551.25</v>
      </c>
      <c r="I12" s="364">
        <v>15149.75</v>
      </c>
      <c r="J12" s="364">
        <v>14674.75</v>
      </c>
      <c r="K12" s="364">
        <v>9464.75</v>
      </c>
      <c r="L12" s="396">
        <v>5506.3</v>
      </c>
      <c r="M12" s="364">
        <v>10250</v>
      </c>
      <c r="N12" s="363">
        <v>9550</v>
      </c>
    </row>
    <row r="13" spans="1:14" s="355" customFormat="1" ht="10.199999999999999" x14ac:dyDescent="0.2">
      <c r="A13" s="370">
        <v>2</v>
      </c>
      <c r="B13" s="369" t="s">
        <v>112</v>
      </c>
      <c r="C13" s="368">
        <v>667506.94999999995</v>
      </c>
      <c r="D13" s="368">
        <v>693106.95000000007</v>
      </c>
      <c r="E13" s="368">
        <v>748756.95</v>
      </c>
      <c r="F13" s="368">
        <v>748756.95</v>
      </c>
      <c r="G13" s="368">
        <v>755756.95000000007</v>
      </c>
      <c r="H13" s="368">
        <v>769756.95000000007</v>
      </c>
      <c r="I13" s="368">
        <v>767256.95000000007</v>
      </c>
      <c r="J13" s="368">
        <v>775256.95000000007</v>
      </c>
      <c r="K13" s="368">
        <v>765946.95000000007</v>
      </c>
      <c r="L13" s="389">
        <v>770947.10000000009</v>
      </c>
      <c r="M13" s="368">
        <v>764947</v>
      </c>
      <c r="N13" s="367">
        <v>761946.97499999998</v>
      </c>
    </row>
    <row r="14" spans="1:14" s="355" customFormat="1" ht="10.199999999999999" x14ac:dyDescent="0.2">
      <c r="A14" s="366"/>
      <c r="B14" s="365" t="s">
        <v>135</v>
      </c>
      <c r="C14" s="364">
        <v>24948.974999999999</v>
      </c>
      <c r="D14" s="364">
        <v>24948.974999999999</v>
      </c>
      <c r="E14" s="364">
        <v>24948.974999999999</v>
      </c>
      <c r="F14" s="364">
        <v>24948.974999999999</v>
      </c>
      <c r="G14" s="364">
        <v>24948.974999999999</v>
      </c>
      <c r="H14" s="364">
        <v>24948.974999999999</v>
      </c>
      <c r="I14" s="364">
        <v>24948.974999999999</v>
      </c>
      <c r="J14" s="364">
        <v>24948.974999999999</v>
      </c>
      <c r="K14" s="364">
        <v>19333.974999999999</v>
      </c>
      <c r="L14" s="396">
        <v>19334</v>
      </c>
      <c r="M14" s="364">
        <v>16484</v>
      </c>
      <c r="N14" s="363">
        <v>16483.974999999999</v>
      </c>
    </row>
    <row r="15" spans="1:14" s="355" customFormat="1" ht="10.199999999999999" x14ac:dyDescent="0.2">
      <c r="A15" s="366"/>
      <c r="B15" s="365" t="s">
        <v>136</v>
      </c>
      <c r="C15" s="364">
        <v>546122.02500000002</v>
      </c>
      <c r="D15" s="364">
        <v>565306.02500000014</v>
      </c>
      <c r="E15" s="364">
        <v>617721.625</v>
      </c>
      <c r="F15" s="364">
        <v>617721.625</v>
      </c>
      <c r="G15" s="364">
        <v>623600.40000000014</v>
      </c>
      <c r="H15" s="364">
        <v>636220.40000000014</v>
      </c>
      <c r="I15" s="364">
        <v>633858.22500000009</v>
      </c>
      <c r="J15" s="364">
        <v>640528.22500000009</v>
      </c>
      <c r="K15" s="364">
        <v>637080.22500000009</v>
      </c>
      <c r="L15" s="396">
        <v>643362.9</v>
      </c>
      <c r="M15" s="364">
        <v>643151.9</v>
      </c>
      <c r="N15" s="363">
        <v>642357.9</v>
      </c>
    </row>
    <row r="16" spans="1:14" s="355" customFormat="1" ht="10.199999999999999" x14ac:dyDescent="0.2">
      <c r="A16" s="366"/>
      <c r="B16" s="365" t="s">
        <v>154</v>
      </c>
      <c r="C16" s="364">
        <v>69730.625</v>
      </c>
      <c r="D16" s="364">
        <v>75896.625</v>
      </c>
      <c r="E16" s="364">
        <v>79046.074999999997</v>
      </c>
      <c r="F16" s="364">
        <v>79046.074999999997</v>
      </c>
      <c r="G16" s="364">
        <v>79890.600000000006</v>
      </c>
      <c r="H16" s="364">
        <v>81240.600000000006</v>
      </c>
      <c r="I16" s="364">
        <v>81552.774999999994</v>
      </c>
      <c r="J16" s="364">
        <v>82782.774999999994</v>
      </c>
      <c r="K16" s="364">
        <v>82672.774999999994</v>
      </c>
      <c r="L16" s="396">
        <v>82222.8</v>
      </c>
      <c r="M16" s="364">
        <v>79664.399999999994</v>
      </c>
      <c r="N16" s="363">
        <v>77534.399999999994</v>
      </c>
    </row>
    <row r="17" spans="1:14" s="355" customFormat="1" ht="10.199999999999999" x14ac:dyDescent="0.2">
      <c r="A17" s="366"/>
      <c r="B17" s="365" t="s">
        <v>155</v>
      </c>
      <c r="C17" s="364">
        <v>18018.699999999997</v>
      </c>
      <c r="D17" s="364">
        <v>18268.699999999997</v>
      </c>
      <c r="E17" s="364">
        <v>18285.624999999996</v>
      </c>
      <c r="F17" s="364">
        <v>18285.624999999996</v>
      </c>
      <c r="G17" s="364">
        <v>18562.324999999997</v>
      </c>
      <c r="H17" s="364">
        <v>18592.325000000001</v>
      </c>
      <c r="I17" s="364">
        <v>18242.324999999997</v>
      </c>
      <c r="J17" s="364">
        <v>18342.324999999997</v>
      </c>
      <c r="K17" s="364">
        <v>18210.324999999997</v>
      </c>
      <c r="L17" s="396">
        <v>18250.3</v>
      </c>
      <c r="M17" s="364">
        <v>17047</v>
      </c>
      <c r="N17" s="363">
        <v>16971</v>
      </c>
    </row>
    <row r="18" spans="1:14" s="355" customFormat="1" ht="10.199999999999999" x14ac:dyDescent="0.2">
      <c r="A18" s="366"/>
      <c r="B18" s="365" t="s">
        <v>140</v>
      </c>
      <c r="C18" s="364">
        <v>8686.625</v>
      </c>
      <c r="D18" s="364">
        <v>8686.625</v>
      </c>
      <c r="E18" s="364">
        <v>8754.65</v>
      </c>
      <c r="F18" s="364">
        <v>8754.65</v>
      </c>
      <c r="G18" s="364">
        <v>8754.65</v>
      </c>
      <c r="H18" s="364">
        <v>8754.65</v>
      </c>
      <c r="I18" s="364">
        <v>8654.65</v>
      </c>
      <c r="J18" s="364">
        <v>8654.65</v>
      </c>
      <c r="K18" s="364">
        <v>8649.65</v>
      </c>
      <c r="L18" s="396">
        <v>7777.1</v>
      </c>
      <c r="M18" s="364">
        <v>8599.7000000000007</v>
      </c>
      <c r="N18" s="363">
        <v>8599.7000000000007</v>
      </c>
    </row>
    <row r="19" spans="1:14" s="355" customFormat="1" ht="10.199999999999999" x14ac:dyDescent="0.2">
      <c r="A19" s="370">
        <v>4</v>
      </c>
      <c r="B19" s="369" t="s">
        <v>114</v>
      </c>
      <c r="C19" s="368">
        <v>10750.27</v>
      </c>
      <c r="D19" s="368">
        <v>10750.27</v>
      </c>
      <c r="E19" s="368">
        <v>10750.27</v>
      </c>
      <c r="F19" s="368">
        <v>10750.27</v>
      </c>
      <c r="G19" s="368">
        <v>10750.27</v>
      </c>
      <c r="H19" s="368">
        <v>10750.27</v>
      </c>
      <c r="I19" s="368">
        <v>10750.27</v>
      </c>
      <c r="J19" s="389">
        <v>10750.31</v>
      </c>
      <c r="K19" s="368">
        <v>10750.27</v>
      </c>
      <c r="L19" s="389">
        <v>10750.27</v>
      </c>
      <c r="M19" s="368">
        <v>10750.3</v>
      </c>
      <c r="N19" s="367">
        <v>11120.099999999999</v>
      </c>
    </row>
    <row r="20" spans="1:14" s="355" customFormat="1" ht="10.199999999999999" x14ac:dyDescent="0.2">
      <c r="A20" s="366"/>
      <c r="B20" s="365" t="s">
        <v>141</v>
      </c>
      <c r="C20" s="364">
        <v>3901.2</v>
      </c>
      <c r="D20" s="364">
        <v>3901.2</v>
      </c>
      <c r="E20" s="364">
        <v>3901.2</v>
      </c>
      <c r="F20" s="364">
        <v>3901.2</v>
      </c>
      <c r="G20" s="364">
        <v>3901.2</v>
      </c>
      <c r="H20" s="364">
        <v>3901.2</v>
      </c>
      <c r="I20" s="364">
        <v>3901.2</v>
      </c>
      <c r="J20" s="396">
        <v>3906.2</v>
      </c>
      <c r="K20" s="364">
        <v>3906.2</v>
      </c>
      <c r="L20" s="396">
        <v>3906.2</v>
      </c>
      <c r="M20" s="364">
        <v>3906.2</v>
      </c>
      <c r="N20" s="363">
        <v>3906.3999999999996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96">
        <v>0</v>
      </c>
      <c r="K21" s="364">
        <v>0</v>
      </c>
      <c r="L21" s="396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96">
        <v>0</v>
      </c>
      <c r="K22" s="364">
        <v>0</v>
      </c>
      <c r="L22" s="396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96">
        <v>0</v>
      </c>
      <c r="K23" s="364">
        <v>0</v>
      </c>
      <c r="L23" s="396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6849.0700000000006</v>
      </c>
      <c r="D24" s="364">
        <v>6849.07</v>
      </c>
      <c r="E24" s="364">
        <v>6849.0700000000006</v>
      </c>
      <c r="F24" s="364">
        <v>6849.0700000000006</v>
      </c>
      <c r="G24" s="364">
        <v>6849.07</v>
      </c>
      <c r="H24" s="364">
        <v>6849.07</v>
      </c>
      <c r="I24" s="364">
        <v>6849.07</v>
      </c>
      <c r="J24" s="396">
        <v>6844.11</v>
      </c>
      <c r="K24" s="364">
        <v>6844.0700000000006</v>
      </c>
      <c r="L24" s="396">
        <v>6844.07</v>
      </c>
      <c r="M24" s="364">
        <v>6844.0999999999995</v>
      </c>
      <c r="N24" s="363">
        <v>7213.7</v>
      </c>
    </row>
    <row r="25" spans="1:14" s="355" customFormat="1" ht="10.199999999999999" x14ac:dyDescent="0.2">
      <c r="A25" s="370">
        <v>5</v>
      </c>
      <c r="B25" s="369" t="s">
        <v>157</v>
      </c>
      <c r="C25" s="386">
        <v>175.40999999999997</v>
      </c>
      <c r="D25" s="386">
        <v>175.40999999999997</v>
      </c>
      <c r="E25" s="386">
        <v>175.40999999999997</v>
      </c>
      <c r="F25" s="386">
        <v>175.40999999999997</v>
      </c>
      <c r="G25" s="386">
        <v>175.40999999999997</v>
      </c>
      <c r="H25" s="386">
        <v>175.40999999999997</v>
      </c>
      <c r="I25" s="386">
        <v>175.40999999999997</v>
      </c>
      <c r="J25" s="386">
        <v>175.40999999999997</v>
      </c>
      <c r="K25" s="386">
        <v>175.41000000000003</v>
      </c>
      <c r="L25" s="386">
        <v>175.39</v>
      </c>
      <c r="M25" s="386">
        <v>175.4</v>
      </c>
      <c r="N25" s="385">
        <v>227.03</v>
      </c>
    </row>
    <row r="26" spans="1:14" s="355" customFormat="1" ht="10.199999999999999" x14ac:dyDescent="0.2">
      <c r="A26" s="366"/>
      <c r="B26" s="365" t="s">
        <v>135</v>
      </c>
      <c r="C26" s="383">
        <v>6.5</v>
      </c>
      <c r="D26" s="383">
        <v>6.5</v>
      </c>
      <c r="E26" s="383">
        <v>6.5</v>
      </c>
      <c r="F26" s="383">
        <v>6.5</v>
      </c>
      <c r="G26" s="383">
        <v>6.5</v>
      </c>
      <c r="H26" s="383">
        <v>6.5</v>
      </c>
      <c r="I26" s="383">
        <v>6.5</v>
      </c>
      <c r="J26" s="397">
        <v>6.5</v>
      </c>
      <c r="K26" s="397">
        <v>6.5</v>
      </c>
      <c r="L26" s="397">
        <v>6.5</v>
      </c>
      <c r="M26" s="383">
        <v>6.5</v>
      </c>
      <c r="N26" s="382">
        <v>6.5</v>
      </c>
    </row>
    <row r="27" spans="1:14" s="355" customFormat="1" ht="10.199999999999999" x14ac:dyDescent="0.2">
      <c r="A27" s="366"/>
      <c r="B27" s="365" t="s">
        <v>158</v>
      </c>
      <c r="C27" s="364">
        <v>168.90999999999997</v>
      </c>
      <c r="D27" s="364">
        <v>168.90999999999997</v>
      </c>
      <c r="E27" s="364">
        <v>168.90999999999997</v>
      </c>
      <c r="F27" s="364">
        <v>168.90999999999997</v>
      </c>
      <c r="G27" s="364">
        <v>168.90999999999997</v>
      </c>
      <c r="H27" s="364">
        <v>168.90999999999997</v>
      </c>
      <c r="I27" s="364">
        <v>168.90999999999997</v>
      </c>
      <c r="J27" s="396">
        <v>168.90999999999997</v>
      </c>
      <c r="K27" s="396">
        <v>168.91000000000003</v>
      </c>
      <c r="L27" s="396">
        <v>168.89</v>
      </c>
      <c r="M27" s="364">
        <v>168.9</v>
      </c>
      <c r="N27" s="363">
        <v>220.53</v>
      </c>
    </row>
    <row r="28" spans="1:14" s="355" customFormat="1" ht="10.199999999999999" x14ac:dyDescent="0.2">
      <c r="A28" s="370"/>
      <c r="B28" s="369" t="s">
        <v>147</v>
      </c>
      <c r="C28" s="368">
        <v>1116138.2024260899</v>
      </c>
      <c r="D28" s="368">
        <v>1130823.054</v>
      </c>
      <c r="E28" s="368">
        <v>1179464.8800000001</v>
      </c>
      <c r="F28" s="368">
        <v>1179464.8800000001</v>
      </c>
      <c r="G28" s="368">
        <v>1193464.8799999999</v>
      </c>
      <c r="H28" s="368">
        <v>1193934.8800000001</v>
      </c>
      <c r="I28" s="368">
        <v>1184334.8799999999</v>
      </c>
      <c r="J28" s="368">
        <v>1197334.9200000002</v>
      </c>
      <c r="K28" s="368">
        <v>1175564.8799999999</v>
      </c>
      <c r="L28" s="389">
        <v>1190065.0600000003</v>
      </c>
      <c r="M28" s="368">
        <v>1188564.8999999999</v>
      </c>
      <c r="N28" s="367">
        <v>1176986.3313</v>
      </c>
    </row>
    <row r="29" spans="1:14" s="355" customFormat="1" ht="10.199999999999999" x14ac:dyDescent="0.2">
      <c r="A29" s="366"/>
      <c r="B29" s="365" t="s">
        <v>135</v>
      </c>
      <c r="C29" s="364">
        <v>67120.597426089997</v>
      </c>
      <c r="D29" s="364">
        <v>52275.448999999993</v>
      </c>
      <c r="E29" s="364">
        <v>39667.274999999994</v>
      </c>
      <c r="F29" s="364">
        <v>37667.274999999994</v>
      </c>
      <c r="G29" s="364">
        <v>34496.674999999996</v>
      </c>
      <c r="H29" s="364">
        <v>33586.674999999996</v>
      </c>
      <c r="I29" s="364">
        <v>33586.674999999996</v>
      </c>
      <c r="J29" s="364">
        <v>33591.674999999996</v>
      </c>
      <c r="K29" s="364">
        <v>23246.674999999999</v>
      </c>
      <c r="L29" s="396">
        <v>23246.7</v>
      </c>
      <c r="M29" s="364">
        <v>20396.7</v>
      </c>
      <c r="N29" s="363">
        <v>20396.875</v>
      </c>
    </row>
    <row r="30" spans="1:14" s="355" customFormat="1" ht="10.199999999999999" x14ac:dyDescent="0.2">
      <c r="A30" s="366"/>
      <c r="B30" s="365" t="s">
        <v>136</v>
      </c>
      <c r="C30" s="364">
        <v>890923.95</v>
      </c>
      <c r="D30" s="364">
        <v>914651.15000000014</v>
      </c>
      <c r="E30" s="364">
        <v>976084.57499999995</v>
      </c>
      <c r="F30" s="364">
        <v>982764.57499999995</v>
      </c>
      <c r="G30" s="364">
        <v>1006970.8500000001</v>
      </c>
      <c r="H30" s="364">
        <v>1009116.4000000001</v>
      </c>
      <c r="I30" s="364">
        <v>1000375.7250000001</v>
      </c>
      <c r="J30" s="364">
        <v>1012975.8750000001</v>
      </c>
      <c r="K30" s="364">
        <v>1010453.625</v>
      </c>
      <c r="L30" s="396">
        <v>1027994.8</v>
      </c>
      <c r="M30" s="364">
        <v>1023550.3</v>
      </c>
      <c r="N30" s="363">
        <v>1016283.1</v>
      </c>
    </row>
    <row r="31" spans="1:14" s="355" customFormat="1" ht="10.199999999999999" x14ac:dyDescent="0.2">
      <c r="A31" s="366"/>
      <c r="B31" s="365" t="s">
        <v>154</v>
      </c>
      <c r="C31" s="364">
        <v>96520.7</v>
      </c>
      <c r="D31" s="364">
        <v>102473.5</v>
      </c>
      <c r="E31" s="364">
        <v>101177.625</v>
      </c>
      <c r="F31" s="364">
        <v>97677.625</v>
      </c>
      <c r="G31" s="364">
        <v>97437.150000000009</v>
      </c>
      <c r="H31" s="364">
        <v>98620.6</v>
      </c>
      <c r="I31" s="364">
        <v>96702.774999999994</v>
      </c>
      <c r="J31" s="364">
        <v>97677.774999999994</v>
      </c>
      <c r="K31" s="364">
        <v>94852.774999999994</v>
      </c>
      <c r="L31" s="396">
        <v>95724.6</v>
      </c>
      <c r="M31" s="364">
        <v>96120.9</v>
      </c>
      <c r="N31" s="363">
        <v>92242.328199999989</v>
      </c>
    </row>
    <row r="32" spans="1:14" s="355" customFormat="1" ht="10.199999999999999" x14ac:dyDescent="0.2">
      <c r="A32" s="366"/>
      <c r="B32" s="365" t="s">
        <v>155</v>
      </c>
      <c r="C32" s="364">
        <v>19808.699999999997</v>
      </c>
      <c r="D32" s="364">
        <v>20458.699999999997</v>
      </c>
      <c r="E32" s="364">
        <v>21983.124999999996</v>
      </c>
      <c r="F32" s="364">
        <v>22303.124999999996</v>
      </c>
      <c r="G32" s="364">
        <v>21857.324999999997</v>
      </c>
      <c r="H32" s="364">
        <v>22287.325000000001</v>
      </c>
      <c r="I32" s="364">
        <v>22847.324999999997</v>
      </c>
      <c r="J32" s="364">
        <v>22747.174999999996</v>
      </c>
      <c r="K32" s="364">
        <v>21884.424999999996</v>
      </c>
      <c r="L32" s="396">
        <v>22802.6</v>
      </c>
      <c r="M32" s="364">
        <v>22634.3</v>
      </c>
      <c r="N32" s="363">
        <v>22480.098099999999</v>
      </c>
    </row>
    <row r="33" spans="1:14" s="355" customFormat="1" ht="10.8" thickBot="1" x14ac:dyDescent="0.25">
      <c r="A33" s="362"/>
      <c r="B33" s="401" t="s">
        <v>156</v>
      </c>
      <c r="C33" s="402">
        <v>41764.255000000005</v>
      </c>
      <c r="D33" s="402">
        <v>40964.255000000005</v>
      </c>
      <c r="E33" s="402">
        <v>40552.280000000006</v>
      </c>
      <c r="F33" s="402">
        <v>39052.280000000006</v>
      </c>
      <c r="G33" s="402">
        <v>32702.880000000001</v>
      </c>
      <c r="H33" s="402">
        <v>30323.88</v>
      </c>
      <c r="I33" s="402">
        <v>30822.38</v>
      </c>
      <c r="J33" s="402">
        <v>30342.420000000002</v>
      </c>
      <c r="K33" s="402">
        <v>25127.38</v>
      </c>
      <c r="L33" s="403">
        <v>20296.36</v>
      </c>
      <c r="M33" s="402">
        <v>25862.7</v>
      </c>
      <c r="N33" s="404">
        <v>25583.93</v>
      </c>
    </row>
    <row r="34" spans="1:14" s="355" customFormat="1" ht="10.8" thickTop="1" x14ac:dyDescent="0.2">
      <c r="A34" s="357" t="s">
        <v>162</v>
      </c>
      <c r="B34" s="356"/>
      <c r="L34" s="400"/>
    </row>
    <row r="35" spans="1:14" s="355" customFormat="1" ht="10.199999999999999" x14ac:dyDescent="0.2">
      <c r="A35" s="357" t="s">
        <v>163</v>
      </c>
      <c r="B35" s="356"/>
      <c r="L35" s="400"/>
    </row>
    <row r="36" spans="1:14" s="355" customFormat="1" ht="10.199999999999999" x14ac:dyDescent="0.2">
      <c r="L36" s="400"/>
    </row>
  </sheetData>
  <mergeCells count="6">
    <mergeCell ref="A1:N1"/>
    <mergeCell ref="A2:N2"/>
    <mergeCell ref="A3:B3"/>
    <mergeCell ref="A4:N4"/>
    <mergeCell ref="A5:B6"/>
    <mergeCell ref="C5:N5"/>
  </mergeCells>
  <hyperlinks>
    <hyperlink ref="A34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6"/>
  <sheetViews>
    <sheetView tabSelected="1" zoomScale="120" zoomScaleNormal="120" workbookViewId="0">
      <selection activeCell="A4" sqref="A4:N4"/>
    </sheetView>
  </sheetViews>
  <sheetFormatPr defaultRowHeight="13.2" x14ac:dyDescent="0.25"/>
  <cols>
    <col min="1" max="1" width="6.33203125" style="354" customWidth="1"/>
    <col min="2" max="2" width="28.109375" style="354" customWidth="1"/>
    <col min="3" max="11" width="10.33203125" style="354" customWidth="1"/>
    <col min="12" max="12" width="10.33203125" style="399" customWidth="1"/>
    <col min="1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180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183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v>396692.20000000007</v>
      </c>
      <c r="D7" s="368">
        <v>391692.19999999995</v>
      </c>
      <c r="E7" s="368">
        <v>379092.30000000005</v>
      </c>
      <c r="F7" s="389">
        <v>384092.2</v>
      </c>
      <c r="G7" s="389">
        <v>347592.30000000005</v>
      </c>
      <c r="H7" s="389">
        <v>347592.30000000005</v>
      </c>
      <c r="I7" s="389">
        <v>362592.3</v>
      </c>
      <c r="J7" s="389">
        <v>365359.05000000005</v>
      </c>
      <c r="K7" s="389">
        <v>359738.6</v>
      </c>
      <c r="L7" s="389"/>
      <c r="M7" s="389"/>
      <c r="N7" s="388"/>
    </row>
    <row r="8" spans="1:14" s="355" customFormat="1" ht="10.199999999999999" x14ac:dyDescent="0.2">
      <c r="A8" s="366"/>
      <c r="B8" s="365" t="s">
        <v>135</v>
      </c>
      <c r="C8" s="364">
        <v>0</v>
      </c>
      <c r="D8" s="364">
        <v>0</v>
      </c>
      <c r="E8" s="364">
        <v>0</v>
      </c>
      <c r="F8" s="364">
        <v>0</v>
      </c>
      <c r="G8" s="364">
        <v>0</v>
      </c>
      <c r="H8" s="364">
        <v>0</v>
      </c>
      <c r="I8" s="364">
        <v>0</v>
      </c>
      <c r="J8" s="364">
        <v>0</v>
      </c>
      <c r="K8" s="364">
        <v>2267.5</v>
      </c>
      <c r="L8" s="396"/>
      <c r="M8" s="364"/>
      <c r="N8" s="363"/>
    </row>
    <row r="9" spans="1:14" s="355" customFormat="1" ht="10.199999999999999" x14ac:dyDescent="0.2">
      <c r="A9" s="366"/>
      <c r="B9" s="365" t="s">
        <v>136</v>
      </c>
      <c r="C9" s="364">
        <v>359666.4</v>
      </c>
      <c r="D9" s="364">
        <v>357334.5</v>
      </c>
      <c r="E9" s="364">
        <v>345872.60000000003</v>
      </c>
      <c r="F9" s="364">
        <v>349808.1</v>
      </c>
      <c r="G9" s="364">
        <v>313552</v>
      </c>
      <c r="H9" s="364">
        <v>313552</v>
      </c>
      <c r="I9" s="364">
        <v>314404.8</v>
      </c>
      <c r="J9" s="364">
        <v>316204.90000000002</v>
      </c>
      <c r="K9" s="364">
        <v>310626.09999999998</v>
      </c>
      <c r="L9" s="396"/>
      <c r="M9" s="364"/>
      <c r="N9" s="363"/>
    </row>
    <row r="10" spans="1:14" s="355" customFormat="1" ht="10.199999999999999" x14ac:dyDescent="0.2">
      <c r="A10" s="366"/>
      <c r="B10" s="365" t="s">
        <v>154</v>
      </c>
      <c r="C10" s="364">
        <v>25343.4</v>
      </c>
      <c r="D10" s="364">
        <v>21371.599999999999</v>
      </c>
      <c r="E10" s="364">
        <v>16963.900000000001</v>
      </c>
      <c r="F10" s="364">
        <v>10179.5</v>
      </c>
      <c r="G10" s="364">
        <v>8812.4</v>
      </c>
      <c r="H10" s="364">
        <v>8812.4</v>
      </c>
      <c r="I10" s="364">
        <v>6255.2</v>
      </c>
      <c r="J10" s="364">
        <v>5861.9</v>
      </c>
      <c r="K10" s="364">
        <v>5205.8</v>
      </c>
      <c r="L10" s="396"/>
      <c r="M10" s="364"/>
      <c r="N10" s="363"/>
    </row>
    <row r="11" spans="1:14" s="355" customFormat="1" ht="10.199999999999999" x14ac:dyDescent="0.2">
      <c r="A11" s="366"/>
      <c r="B11" s="365" t="s">
        <v>155</v>
      </c>
      <c r="C11" s="364">
        <v>5396.5</v>
      </c>
      <c r="D11" s="364">
        <v>4936.1000000000004</v>
      </c>
      <c r="E11" s="364">
        <v>4843.2</v>
      </c>
      <c r="F11" s="364">
        <v>4653.8999999999996</v>
      </c>
      <c r="G11" s="364">
        <v>2970.4</v>
      </c>
      <c r="H11" s="364">
        <v>2970.4</v>
      </c>
      <c r="I11" s="364">
        <v>2124.7999999999997</v>
      </c>
      <c r="J11" s="364">
        <v>1954.8</v>
      </c>
      <c r="K11" s="364">
        <v>1328.8</v>
      </c>
      <c r="L11" s="396"/>
      <c r="M11" s="364"/>
      <c r="N11" s="363"/>
    </row>
    <row r="12" spans="1:14" s="355" customFormat="1" ht="10.199999999999999" x14ac:dyDescent="0.2">
      <c r="A12" s="366"/>
      <c r="B12" s="365" t="s">
        <v>156</v>
      </c>
      <c r="C12" s="364">
        <v>6285.9000000000005</v>
      </c>
      <c r="D12" s="364">
        <v>8050</v>
      </c>
      <c r="E12" s="364">
        <v>11412.5</v>
      </c>
      <c r="F12" s="364">
        <v>19450.7</v>
      </c>
      <c r="G12" s="364">
        <v>22257.5</v>
      </c>
      <c r="H12" s="364">
        <v>22257.5</v>
      </c>
      <c r="I12" s="364">
        <v>39807.5</v>
      </c>
      <c r="J12" s="364">
        <v>41337.449999999997</v>
      </c>
      <c r="K12" s="364">
        <v>40310.400000000001</v>
      </c>
      <c r="L12" s="396"/>
      <c r="M12" s="364"/>
      <c r="N12" s="363"/>
    </row>
    <row r="13" spans="1:14" s="355" customFormat="1" ht="10.199999999999999" x14ac:dyDescent="0.2">
      <c r="A13" s="370">
        <v>2</v>
      </c>
      <c r="B13" s="369" t="s">
        <v>112</v>
      </c>
      <c r="C13" s="368">
        <v>791947</v>
      </c>
      <c r="D13" s="368">
        <v>831947</v>
      </c>
      <c r="E13" s="368">
        <v>841847</v>
      </c>
      <c r="F13" s="368">
        <v>852806.99999999988</v>
      </c>
      <c r="G13" s="368">
        <v>854806.89999999991</v>
      </c>
      <c r="H13" s="368">
        <v>854806.89999999991</v>
      </c>
      <c r="I13" s="368">
        <v>902907</v>
      </c>
      <c r="J13" s="368">
        <v>932907</v>
      </c>
      <c r="K13" s="368">
        <v>922907</v>
      </c>
      <c r="L13" s="389"/>
      <c r="M13" s="368"/>
      <c r="N13" s="367"/>
    </row>
    <row r="14" spans="1:14" s="355" customFormat="1" ht="10.199999999999999" x14ac:dyDescent="0.2">
      <c r="A14" s="366"/>
      <c r="B14" s="365" t="s">
        <v>135</v>
      </c>
      <c r="C14" s="364">
        <v>16484</v>
      </c>
      <c r="D14" s="364">
        <v>16484</v>
      </c>
      <c r="E14" s="364">
        <v>16484</v>
      </c>
      <c r="F14" s="364">
        <v>16484</v>
      </c>
      <c r="G14" s="364">
        <v>16484</v>
      </c>
      <c r="H14" s="364">
        <v>16484</v>
      </c>
      <c r="I14" s="364">
        <v>16484</v>
      </c>
      <c r="J14" s="364">
        <v>16484</v>
      </c>
      <c r="K14" s="364">
        <v>16484</v>
      </c>
      <c r="L14" s="396"/>
      <c r="M14" s="364"/>
      <c r="N14" s="363"/>
    </row>
    <row r="15" spans="1:14" s="355" customFormat="1" ht="10.199999999999999" x14ac:dyDescent="0.2">
      <c r="A15" s="366"/>
      <c r="B15" s="365" t="s">
        <v>136</v>
      </c>
      <c r="C15" s="364">
        <v>667792.70000000007</v>
      </c>
      <c r="D15" s="364">
        <v>702572.70000000007</v>
      </c>
      <c r="E15" s="364">
        <v>712422.70000000007</v>
      </c>
      <c r="F15" s="364">
        <v>718968.7</v>
      </c>
      <c r="G15" s="364">
        <v>719868.7</v>
      </c>
      <c r="H15" s="364">
        <v>719868.7</v>
      </c>
      <c r="I15" s="364">
        <v>755549.7</v>
      </c>
      <c r="J15" s="364">
        <v>775127.5</v>
      </c>
      <c r="K15" s="364">
        <v>762597.5</v>
      </c>
      <c r="L15" s="396"/>
      <c r="M15" s="364"/>
      <c r="N15" s="363"/>
    </row>
    <row r="16" spans="1:14" s="355" customFormat="1" ht="10.199999999999999" x14ac:dyDescent="0.2">
      <c r="A16" s="366"/>
      <c r="B16" s="365" t="s">
        <v>154</v>
      </c>
      <c r="C16" s="364">
        <v>80759.600000000006</v>
      </c>
      <c r="D16" s="364">
        <v>82109.599999999991</v>
      </c>
      <c r="E16" s="364">
        <v>82159.599999999991</v>
      </c>
      <c r="F16" s="364">
        <v>82519.599999999991</v>
      </c>
      <c r="G16" s="364">
        <v>82369.599999999991</v>
      </c>
      <c r="H16" s="364">
        <v>82369.599999999991</v>
      </c>
      <c r="I16" s="364">
        <v>83961</v>
      </c>
      <c r="J16" s="364">
        <v>85059.199999999997</v>
      </c>
      <c r="K16" s="364">
        <v>85359.2</v>
      </c>
      <c r="L16" s="396"/>
      <c r="M16" s="364"/>
      <c r="N16" s="363"/>
    </row>
    <row r="17" spans="1:14" s="355" customFormat="1" ht="10.199999999999999" x14ac:dyDescent="0.2">
      <c r="A17" s="366"/>
      <c r="B17" s="365" t="s">
        <v>155</v>
      </c>
      <c r="C17" s="364">
        <v>17151</v>
      </c>
      <c r="D17" s="364">
        <v>17271</v>
      </c>
      <c r="E17" s="364">
        <v>17271</v>
      </c>
      <c r="F17" s="364">
        <v>17361</v>
      </c>
      <c r="G17" s="364">
        <v>17161</v>
      </c>
      <c r="H17" s="364">
        <v>17161</v>
      </c>
      <c r="I17" s="364">
        <v>17661</v>
      </c>
      <c r="J17" s="364">
        <v>18111</v>
      </c>
      <c r="K17" s="364">
        <v>17341</v>
      </c>
      <c r="L17" s="396"/>
      <c r="M17" s="364"/>
      <c r="N17" s="363"/>
    </row>
    <row r="18" spans="1:14" s="355" customFormat="1" ht="10.199999999999999" x14ac:dyDescent="0.2">
      <c r="A18" s="366"/>
      <c r="B18" s="365" t="s">
        <v>140</v>
      </c>
      <c r="C18" s="364">
        <v>9759.7000000000007</v>
      </c>
      <c r="D18" s="364">
        <v>13509.7</v>
      </c>
      <c r="E18" s="364">
        <v>13509.7</v>
      </c>
      <c r="F18" s="364">
        <v>17473.699999999997</v>
      </c>
      <c r="G18" s="364">
        <v>18923.599999999999</v>
      </c>
      <c r="H18" s="364">
        <v>18923.599999999999</v>
      </c>
      <c r="I18" s="364">
        <v>29251.3</v>
      </c>
      <c r="J18" s="364">
        <v>38125.300000000003</v>
      </c>
      <c r="K18" s="364">
        <v>41125.300000000003</v>
      </c>
      <c r="L18" s="396"/>
      <c r="M18" s="364"/>
      <c r="N18" s="363"/>
    </row>
    <row r="19" spans="1:14" s="355" customFormat="1" ht="10.199999999999999" x14ac:dyDescent="0.2">
      <c r="A19" s="370">
        <v>4</v>
      </c>
      <c r="B19" s="369" t="s">
        <v>114</v>
      </c>
      <c r="C19" s="368">
        <v>11120.099999999999</v>
      </c>
      <c r="D19" s="368">
        <v>11120.099999999999</v>
      </c>
      <c r="E19" s="368">
        <v>11120.1</v>
      </c>
      <c r="F19" s="368">
        <v>11120.099999999999</v>
      </c>
      <c r="G19" s="368">
        <v>11120.099999999999</v>
      </c>
      <c r="H19" s="368">
        <v>11120.099999999999</v>
      </c>
      <c r="I19" s="368">
        <v>13120</v>
      </c>
      <c r="J19" s="389">
        <v>13120</v>
      </c>
      <c r="K19" s="368">
        <v>15020.199999999999</v>
      </c>
      <c r="L19" s="389"/>
      <c r="M19" s="368"/>
      <c r="N19" s="367"/>
    </row>
    <row r="20" spans="1:14" s="355" customFormat="1" ht="10.199999999999999" x14ac:dyDescent="0.2">
      <c r="A20" s="366"/>
      <c r="B20" s="365" t="s">
        <v>141</v>
      </c>
      <c r="C20" s="364">
        <v>3906.3999999999996</v>
      </c>
      <c r="D20" s="364">
        <v>3906.3999999999996</v>
      </c>
      <c r="E20" s="364">
        <v>3906.3999999999996</v>
      </c>
      <c r="F20" s="364">
        <v>3906.3999999999996</v>
      </c>
      <c r="G20" s="364">
        <v>3906.3999999999996</v>
      </c>
      <c r="H20" s="364">
        <v>3906.3999999999996</v>
      </c>
      <c r="I20" s="364">
        <v>3906.3999999999996</v>
      </c>
      <c r="J20" s="396">
        <v>3906.4</v>
      </c>
      <c r="K20" s="364">
        <v>3906.4</v>
      </c>
      <c r="L20" s="396"/>
      <c r="M20" s="364"/>
      <c r="N20" s="363"/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96">
        <v>0</v>
      </c>
      <c r="K21" s="364">
        <v>0</v>
      </c>
      <c r="L21" s="396"/>
      <c r="M21" s="364"/>
      <c r="N21" s="363"/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96">
        <v>0</v>
      </c>
      <c r="K22" s="364">
        <v>0</v>
      </c>
      <c r="L22" s="396"/>
      <c r="M22" s="364"/>
      <c r="N22" s="363"/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96">
        <v>0</v>
      </c>
      <c r="K23" s="364">
        <v>0</v>
      </c>
      <c r="L23" s="396"/>
      <c r="M23" s="364"/>
      <c r="N23" s="363"/>
    </row>
    <row r="24" spans="1:14" s="355" customFormat="1" ht="10.199999999999999" x14ac:dyDescent="0.2">
      <c r="A24" s="366"/>
      <c r="B24" s="365" t="s">
        <v>156</v>
      </c>
      <c r="C24" s="364">
        <v>7213.7</v>
      </c>
      <c r="D24" s="364">
        <v>7213.7</v>
      </c>
      <c r="E24" s="364">
        <v>7213.7</v>
      </c>
      <c r="F24" s="364">
        <v>7213.7</v>
      </c>
      <c r="G24" s="364">
        <v>7213.7</v>
      </c>
      <c r="H24" s="364">
        <v>7213.7</v>
      </c>
      <c r="I24" s="364">
        <v>9213.6</v>
      </c>
      <c r="J24" s="396">
        <v>9213.6</v>
      </c>
      <c r="K24" s="364">
        <v>11113.8</v>
      </c>
      <c r="L24" s="396"/>
      <c r="M24" s="364"/>
      <c r="N24" s="363"/>
    </row>
    <row r="25" spans="1:14" s="355" customFormat="1" ht="10.199999999999999" x14ac:dyDescent="0.2">
      <c r="A25" s="370">
        <v>5</v>
      </c>
      <c r="B25" s="369" t="s">
        <v>157</v>
      </c>
      <c r="C25" s="386">
        <v>227.1</v>
      </c>
      <c r="D25" s="386">
        <v>227.1</v>
      </c>
      <c r="E25" s="386">
        <v>227</v>
      </c>
      <c r="F25" s="386">
        <v>227</v>
      </c>
      <c r="G25" s="386">
        <v>227</v>
      </c>
      <c r="H25" s="386">
        <v>227</v>
      </c>
      <c r="I25" s="386">
        <v>277</v>
      </c>
      <c r="J25" s="386">
        <v>277</v>
      </c>
      <c r="K25" s="386">
        <v>363.3</v>
      </c>
      <c r="L25" s="386"/>
      <c r="M25" s="386"/>
      <c r="N25" s="385"/>
    </row>
    <row r="26" spans="1:14" s="355" customFormat="1" ht="10.199999999999999" x14ac:dyDescent="0.2">
      <c r="A26" s="366"/>
      <c r="B26" s="365" t="s">
        <v>135</v>
      </c>
      <c r="C26" s="383">
        <v>6.5</v>
      </c>
      <c r="D26" s="383">
        <v>6.5</v>
      </c>
      <c r="E26" s="383">
        <v>6.5</v>
      </c>
      <c r="F26" s="383">
        <v>6.5</v>
      </c>
      <c r="G26" s="383">
        <v>6.5</v>
      </c>
      <c r="H26" s="383">
        <v>6.5</v>
      </c>
      <c r="I26" s="383">
        <v>6.5</v>
      </c>
      <c r="J26" s="397">
        <v>6.5</v>
      </c>
      <c r="K26" s="397">
        <v>6.5</v>
      </c>
      <c r="L26" s="397"/>
      <c r="M26" s="383"/>
      <c r="N26" s="382"/>
    </row>
    <row r="27" spans="1:14" s="355" customFormat="1" ht="10.199999999999999" x14ac:dyDescent="0.2">
      <c r="A27" s="366"/>
      <c r="B27" s="365" t="s">
        <v>158</v>
      </c>
      <c r="C27" s="364">
        <v>220.6</v>
      </c>
      <c r="D27" s="364">
        <v>220.6</v>
      </c>
      <c r="E27" s="364">
        <v>220.5</v>
      </c>
      <c r="F27" s="364">
        <v>220.5</v>
      </c>
      <c r="G27" s="364">
        <v>220.5</v>
      </c>
      <c r="H27" s="364">
        <v>220.5</v>
      </c>
      <c r="I27" s="364">
        <v>270.5</v>
      </c>
      <c r="J27" s="396">
        <v>270.5</v>
      </c>
      <c r="K27" s="396">
        <v>356.8</v>
      </c>
      <c r="L27" s="396"/>
      <c r="M27" s="364"/>
      <c r="N27" s="363"/>
    </row>
    <row r="28" spans="1:14" s="355" customFormat="1" ht="10.199999999999999" x14ac:dyDescent="0.2">
      <c r="A28" s="370"/>
      <c r="B28" s="369" t="s">
        <v>147</v>
      </c>
      <c r="C28" s="368">
        <v>1199986.3999999999</v>
      </c>
      <c r="D28" s="368">
        <v>1234986.4000000001</v>
      </c>
      <c r="E28" s="368">
        <v>1232286.2999999998</v>
      </c>
      <c r="F28" s="368">
        <v>1248246.2999999998</v>
      </c>
      <c r="G28" s="368">
        <v>1213746.2999999998</v>
      </c>
      <c r="H28" s="368">
        <v>1213746.2999999998</v>
      </c>
      <c r="I28" s="368">
        <v>1278896.2999999998</v>
      </c>
      <c r="J28" s="368">
        <v>1311663.05</v>
      </c>
      <c r="K28" s="368">
        <v>1298029.1000000001</v>
      </c>
      <c r="L28" s="389"/>
      <c r="M28" s="368"/>
      <c r="N28" s="367"/>
    </row>
    <row r="29" spans="1:14" s="355" customFormat="1" ht="10.199999999999999" x14ac:dyDescent="0.2">
      <c r="A29" s="366"/>
      <c r="B29" s="365" t="s">
        <v>135</v>
      </c>
      <c r="C29" s="364">
        <v>20396.900000000001</v>
      </c>
      <c r="D29" s="364">
        <v>20396.900000000001</v>
      </c>
      <c r="E29" s="364">
        <v>20396.900000000001</v>
      </c>
      <c r="F29" s="364">
        <v>20396.900000000001</v>
      </c>
      <c r="G29" s="364">
        <v>20396.900000000001</v>
      </c>
      <c r="H29" s="364">
        <v>20396.900000000001</v>
      </c>
      <c r="I29" s="364">
        <v>20396.900000000001</v>
      </c>
      <c r="J29" s="364">
        <v>20396.900000000001</v>
      </c>
      <c r="K29" s="364">
        <v>22664.400000000001</v>
      </c>
      <c r="L29" s="396"/>
      <c r="M29" s="364"/>
      <c r="N29" s="363"/>
    </row>
    <row r="30" spans="1:14" s="355" customFormat="1" ht="10.199999999999999" x14ac:dyDescent="0.2">
      <c r="A30" s="366"/>
      <c r="B30" s="365" t="s">
        <v>136</v>
      </c>
      <c r="C30" s="364">
        <v>1027459.1000000001</v>
      </c>
      <c r="D30" s="364">
        <v>1059907.2000000002</v>
      </c>
      <c r="E30" s="364">
        <v>1058295.3</v>
      </c>
      <c r="F30" s="364">
        <v>1068776.7999999998</v>
      </c>
      <c r="G30" s="364">
        <v>1033420.7</v>
      </c>
      <c r="H30" s="364">
        <v>1033420.7</v>
      </c>
      <c r="I30" s="364">
        <v>1069954.5</v>
      </c>
      <c r="J30" s="364">
        <v>1091332.3999999999</v>
      </c>
      <c r="K30" s="364">
        <v>1073223.6000000001</v>
      </c>
      <c r="L30" s="396"/>
      <c r="M30" s="364"/>
      <c r="N30" s="363"/>
    </row>
    <row r="31" spans="1:14" s="355" customFormat="1" ht="10.199999999999999" x14ac:dyDescent="0.2">
      <c r="A31" s="366"/>
      <c r="B31" s="365" t="s">
        <v>154</v>
      </c>
      <c r="C31" s="364">
        <v>106103</v>
      </c>
      <c r="D31" s="364">
        <v>103481.19999999998</v>
      </c>
      <c r="E31" s="364">
        <v>99123.5</v>
      </c>
      <c r="F31" s="364">
        <v>92699.099999999991</v>
      </c>
      <c r="G31" s="364">
        <v>91181.999999999985</v>
      </c>
      <c r="H31" s="364">
        <v>91181.999999999985</v>
      </c>
      <c r="I31" s="364">
        <v>90216.2</v>
      </c>
      <c r="J31" s="364">
        <v>90921.099999999991</v>
      </c>
      <c r="K31" s="364">
        <v>90565</v>
      </c>
      <c r="L31" s="396"/>
      <c r="M31" s="364"/>
      <c r="N31" s="363"/>
    </row>
    <row r="32" spans="1:14" s="355" customFormat="1" ht="10.199999999999999" x14ac:dyDescent="0.2">
      <c r="A32" s="366"/>
      <c r="B32" s="365" t="s">
        <v>155</v>
      </c>
      <c r="C32" s="364">
        <v>22547.5</v>
      </c>
      <c r="D32" s="364">
        <v>22207.1</v>
      </c>
      <c r="E32" s="364">
        <v>22114.2</v>
      </c>
      <c r="F32" s="364">
        <v>22014.9</v>
      </c>
      <c r="G32" s="364">
        <v>20131.400000000001</v>
      </c>
      <c r="H32" s="364">
        <v>20131.400000000001</v>
      </c>
      <c r="I32" s="364">
        <v>19785.8</v>
      </c>
      <c r="J32" s="364">
        <v>20065.8</v>
      </c>
      <c r="K32" s="364">
        <v>18669.8</v>
      </c>
      <c r="L32" s="396"/>
      <c r="M32" s="364"/>
      <c r="N32" s="363"/>
    </row>
    <row r="33" spans="1:14" s="355" customFormat="1" ht="10.8" thickBot="1" x14ac:dyDescent="0.25">
      <c r="A33" s="362"/>
      <c r="B33" s="401" t="s">
        <v>156</v>
      </c>
      <c r="C33" s="402">
        <v>23479.9</v>
      </c>
      <c r="D33" s="402">
        <v>28994</v>
      </c>
      <c r="E33" s="402">
        <v>32356.400000000001</v>
      </c>
      <c r="F33" s="402">
        <v>44358.599999999991</v>
      </c>
      <c r="G33" s="402">
        <v>48615.299999999996</v>
      </c>
      <c r="H33" s="402">
        <v>48615.299999999996</v>
      </c>
      <c r="I33" s="402">
        <v>78542.900000000009</v>
      </c>
      <c r="J33" s="402">
        <v>88946.85</v>
      </c>
      <c r="K33" s="402">
        <v>92906.300000000017</v>
      </c>
      <c r="L33" s="403"/>
      <c r="M33" s="402"/>
      <c r="N33" s="404"/>
    </row>
    <row r="34" spans="1:14" s="355" customFormat="1" ht="10.8" thickTop="1" x14ac:dyDescent="0.2">
      <c r="A34" s="357" t="s">
        <v>162</v>
      </c>
      <c r="B34" s="356"/>
      <c r="L34" s="400"/>
    </row>
    <row r="35" spans="1:14" s="355" customFormat="1" ht="10.199999999999999" x14ac:dyDescent="0.2">
      <c r="A35" s="357" t="s">
        <v>163</v>
      </c>
      <c r="B35" s="356"/>
      <c r="L35" s="400"/>
    </row>
    <row r="36" spans="1:14" s="355" customFormat="1" ht="10.199999999999999" x14ac:dyDescent="0.2">
      <c r="L36" s="400"/>
    </row>
  </sheetData>
  <mergeCells count="6">
    <mergeCell ref="A1:N1"/>
    <mergeCell ref="A2:N2"/>
    <mergeCell ref="A3:B3"/>
    <mergeCell ref="A4:N4"/>
    <mergeCell ref="A5:B6"/>
    <mergeCell ref="C5:N5"/>
  </mergeCells>
  <hyperlinks>
    <hyperlink ref="A34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M28" sqref="M28"/>
    </sheetView>
  </sheetViews>
  <sheetFormatPr defaultColWidth="11" defaultRowHeight="7.2" x14ac:dyDescent="0.15"/>
  <cols>
    <col min="1" max="1" width="3" style="70" customWidth="1"/>
    <col min="2" max="2" width="23" style="1" customWidth="1"/>
    <col min="3" max="14" width="7.5546875" style="1" bestFit="1" customWidth="1"/>
    <col min="15" max="17" width="9.88671875" style="1" customWidth="1"/>
    <col min="18" max="256" width="11" style="1"/>
    <col min="257" max="257" width="3" style="1" customWidth="1"/>
    <col min="258" max="258" width="23" style="1" customWidth="1"/>
    <col min="259" max="270" width="7.5546875" style="1" bestFit="1" customWidth="1"/>
    <col min="271" max="273" width="9.88671875" style="1" customWidth="1"/>
    <col min="274" max="512" width="11" style="1"/>
    <col min="513" max="513" width="3" style="1" customWidth="1"/>
    <col min="514" max="514" width="23" style="1" customWidth="1"/>
    <col min="515" max="526" width="7.5546875" style="1" bestFit="1" customWidth="1"/>
    <col min="527" max="529" width="9.88671875" style="1" customWidth="1"/>
    <col min="530" max="768" width="11" style="1"/>
    <col min="769" max="769" width="3" style="1" customWidth="1"/>
    <col min="770" max="770" width="23" style="1" customWidth="1"/>
    <col min="771" max="782" width="7.5546875" style="1" bestFit="1" customWidth="1"/>
    <col min="783" max="785" width="9.88671875" style="1" customWidth="1"/>
    <col min="786" max="1024" width="11" style="1"/>
    <col min="1025" max="1025" width="3" style="1" customWidth="1"/>
    <col min="1026" max="1026" width="23" style="1" customWidth="1"/>
    <col min="1027" max="1038" width="7.5546875" style="1" bestFit="1" customWidth="1"/>
    <col min="1039" max="1041" width="9.88671875" style="1" customWidth="1"/>
    <col min="1042" max="1280" width="11" style="1"/>
    <col min="1281" max="1281" width="3" style="1" customWidth="1"/>
    <col min="1282" max="1282" width="23" style="1" customWidth="1"/>
    <col min="1283" max="1294" width="7.5546875" style="1" bestFit="1" customWidth="1"/>
    <col min="1295" max="1297" width="9.88671875" style="1" customWidth="1"/>
    <col min="1298" max="1536" width="11" style="1"/>
    <col min="1537" max="1537" width="3" style="1" customWidth="1"/>
    <col min="1538" max="1538" width="23" style="1" customWidth="1"/>
    <col min="1539" max="1550" width="7.5546875" style="1" bestFit="1" customWidth="1"/>
    <col min="1551" max="1553" width="9.88671875" style="1" customWidth="1"/>
    <col min="1554" max="1792" width="11" style="1"/>
    <col min="1793" max="1793" width="3" style="1" customWidth="1"/>
    <col min="1794" max="1794" width="23" style="1" customWidth="1"/>
    <col min="1795" max="1806" width="7.5546875" style="1" bestFit="1" customWidth="1"/>
    <col min="1807" max="1809" width="9.88671875" style="1" customWidth="1"/>
    <col min="1810" max="2048" width="11" style="1"/>
    <col min="2049" max="2049" width="3" style="1" customWidth="1"/>
    <col min="2050" max="2050" width="23" style="1" customWidth="1"/>
    <col min="2051" max="2062" width="7.5546875" style="1" bestFit="1" customWidth="1"/>
    <col min="2063" max="2065" width="9.88671875" style="1" customWidth="1"/>
    <col min="2066" max="2304" width="11" style="1"/>
    <col min="2305" max="2305" width="3" style="1" customWidth="1"/>
    <col min="2306" max="2306" width="23" style="1" customWidth="1"/>
    <col min="2307" max="2318" width="7.5546875" style="1" bestFit="1" customWidth="1"/>
    <col min="2319" max="2321" width="9.88671875" style="1" customWidth="1"/>
    <col min="2322" max="2560" width="11" style="1"/>
    <col min="2561" max="2561" width="3" style="1" customWidth="1"/>
    <col min="2562" max="2562" width="23" style="1" customWidth="1"/>
    <col min="2563" max="2574" width="7.5546875" style="1" bestFit="1" customWidth="1"/>
    <col min="2575" max="2577" width="9.88671875" style="1" customWidth="1"/>
    <col min="2578" max="2816" width="11" style="1"/>
    <col min="2817" max="2817" width="3" style="1" customWidth="1"/>
    <col min="2818" max="2818" width="23" style="1" customWidth="1"/>
    <col min="2819" max="2830" width="7.5546875" style="1" bestFit="1" customWidth="1"/>
    <col min="2831" max="2833" width="9.88671875" style="1" customWidth="1"/>
    <col min="2834" max="3072" width="11" style="1"/>
    <col min="3073" max="3073" width="3" style="1" customWidth="1"/>
    <col min="3074" max="3074" width="23" style="1" customWidth="1"/>
    <col min="3075" max="3086" width="7.5546875" style="1" bestFit="1" customWidth="1"/>
    <col min="3087" max="3089" width="9.88671875" style="1" customWidth="1"/>
    <col min="3090" max="3328" width="11" style="1"/>
    <col min="3329" max="3329" width="3" style="1" customWidth="1"/>
    <col min="3330" max="3330" width="23" style="1" customWidth="1"/>
    <col min="3331" max="3342" width="7.5546875" style="1" bestFit="1" customWidth="1"/>
    <col min="3343" max="3345" width="9.88671875" style="1" customWidth="1"/>
    <col min="3346" max="3584" width="11" style="1"/>
    <col min="3585" max="3585" width="3" style="1" customWidth="1"/>
    <col min="3586" max="3586" width="23" style="1" customWidth="1"/>
    <col min="3587" max="3598" width="7.5546875" style="1" bestFit="1" customWidth="1"/>
    <col min="3599" max="3601" width="9.88671875" style="1" customWidth="1"/>
    <col min="3602" max="3840" width="11" style="1"/>
    <col min="3841" max="3841" width="3" style="1" customWidth="1"/>
    <col min="3842" max="3842" width="23" style="1" customWidth="1"/>
    <col min="3843" max="3854" width="7.5546875" style="1" bestFit="1" customWidth="1"/>
    <col min="3855" max="3857" width="9.88671875" style="1" customWidth="1"/>
    <col min="3858" max="4096" width="11" style="1"/>
    <col min="4097" max="4097" width="3" style="1" customWidth="1"/>
    <col min="4098" max="4098" width="23" style="1" customWidth="1"/>
    <col min="4099" max="4110" width="7.5546875" style="1" bestFit="1" customWidth="1"/>
    <col min="4111" max="4113" width="9.88671875" style="1" customWidth="1"/>
    <col min="4114" max="4352" width="11" style="1"/>
    <col min="4353" max="4353" width="3" style="1" customWidth="1"/>
    <col min="4354" max="4354" width="23" style="1" customWidth="1"/>
    <col min="4355" max="4366" width="7.5546875" style="1" bestFit="1" customWidth="1"/>
    <col min="4367" max="4369" width="9.88671875" style="1" customWidth="1"/>
    <col min="4370" max="4608" width="11" style="1"/>
    <col min="4609" max="4609" width="3" style="1" customWidth="1"/>
    <col min="4610" max="4610" width="23" style="1" customWidth="1"/>
    <col min="4611" max="4622" width="7.5546875" style="1" bestFit="1" customWidth="1"/>
    <col min="4623" max="4625" width="9.88671875" style="1" customWidth="1"/>
    <col min="4626" max="4864" width="11" style="1"/>
    <col min="4865" max="4865" width="3" style="1" customWidth="1"/>
    <col min="4866" max="4866" width="23" style="1" customWidth="1"/>
    <col min="4867" max="4878" width="7.5546875" style="1" bestFit="1" customWidth="1"/>
    <col min="4879" max="4881" width="9.88671875" style="1" customWidth="1"/>
    <col min="4882" max="5120" width="11" style="1"/>
    <col min="5121" max="5121" width="3" style="1" customWidth="1"/>
    <col min="5122" max="5122" width="23" style="1" customWidth="1"/>
    <col min="5123" max="5134" width="7.5546875" style="1" bestFit="1" customWidth="1"/>
    <col min="5135" max="5137" width="9.88671875" style="1" customWidth="1"/>
    <col min="5138" max="5376" width="11" style="1"/>
    <col min="5377" max="5377" width="3" style="1" customWidth="1"/>
    <col min="5378" max="5378" width="23" style="1" customWidth="1"/>
    <col min="5379" max="5390" width="7.5546875" style="1" bestFit="1" customWidth="1"/>
    <col min="5391" max="5393" width="9.88671875" style="1" customWidth="1"/>
    <col min="5394" max="5632" width="11" style="1"/>
    <col min="5633" max="5633" width="3" style="1" customWidth="1"/>
    <col min="5634" max="5634" width="23" style="1" customWidth="1"/>
    <col min="5635" max="5646" width="7.5546875" style="1" bestFit="1" customWidth="1"/>
    <col min="5647" max="5649" width="9.88671875" style="1" customWidth="1"/>
    <col min="5650" max="5888" width="11" style="1"/>
    <col min="5889" max="5889" width="3" style="1" customWidth="1"/>
    <col min="5890" max="5890" width="23" style="1" customWidth="1"/>
    <col min="5891" max="5902" width="7.5546875" style="1" bestFit="1" customWidth="1"/>
    <col min="5903" max="5905" width="9.88671875" style="1" customWidth="1"/>
    <col min="5906" max="6144" width="11" style="1"/>
    <col min="6145" max="6145" width="3" style="1" customWidth="1"/>
    <col min="6146" max="6146" width="23" style="1" customWidth="1"/>
    <col min="6147" max="6158" width="7.5546875" style="1" bestFit="1" customWidth="1"/>
    <col min="6159" max="6161" width="9.88671875" style="1" customWidth="1"/>
    <col min="6162" max="6400" width="11" style="1"/>
    <col min="6401" max="6401" width="3" style="1" customWidth="1"/>
    <col min="6402" max="6402" width="23" style="1" customWidth="1"/>
    <col min="6403" max="6414" width="7.5546875" style="1" bestFit="1" customWidth="1"/>
    <col min="6415" max="6417" width="9.88671875" style="1" customWidth="1"/>
    <col min="6418" max="6656" width="11" style="1"/>
    <col min="6657" max="6657" width="3" style="1" customWidth="1"/>
    <col min="6658" max="6658" width="23" style="1" customWidth="1"/>
    <col min="6659" max="6670" width="7.5546875" style="1" bestFit="1" customWidth="1"/>
    <col min="6671" max="6673" width="9.88671875" style="1" customWidth="1"/>
    <col min="6674" max="6912" width="11" style="1"/>
    <col min="6913" max="6913" width="3" style="1" customWidth="1"/>
    <col min="6914" max="6914" width="23" style="1" customWidth="1"/>
    <col min="6915" max="6926" width="7.5546875" style="1" bestFit="1" customWidth="1"/>
    <col min="6927" max="6929" width="9.88671875" style="1" customWidth="1"/>
    <col min="6930" max="7168" width="11" style="1"/>
    <col min="7169" max="7169" width="3" style="1" customWidth="1"/>
    <col min="7170" max="7170" width="23" style="1" customWidth="1"/>
    <col min="7171" max="7182" width="7.5546875" style="1" bestFit="1" customWidth="1"/>
    <col min="7183" max="7185" width="9.88671875" style="1" customWidth="1"/>
    <col min="7186" max="7424" width="11" style="1"/>
    <col min="7425" max="7425" width="3" style="1" customWidth="1"/>
    <col min="7426" max="7426" width="23" style="1" customWidth="1"/>
    <col min="7427" max="7438" width="7.5546875" style="1" bestFit="1" customWidth="1"/>
    <col min="7439" max="7441" width="9.88671875" style="1" customWidth="1"/>
    <col min="7442" max="7680" width="11" style="1"/>
    <col min="7681" max="7681" width="3" style="1" customWidth="1"/>
    <col min="7682" max="7682" width="23" style="1" customWidth="1"/>
    <col min="7683" max="7694" width="7.5546875" style="1" bestFit="1" customWidth="1"/>
    <col min="7695" max="7697" width="9.88671875" style="1" customWidth="1"/>
    <col min="7698" max="7936" width="11" style="1"/>
    <col min="7937" max="7937" width="3" style="1" customWidth="1"/>
    <col min="7938" max="7938" width="23" style="1" customWidth="1"/>
    <col min="7939" max="7950" width="7.5546875" style="1" bestFit="1" customWidth="1"/>
    <col min="7951" max="7953" width="9.88671875" style="1" customWidth="1"/>
    <col min="7954" max="8192" width="11" style="1"/>
    <col min="8193" max="8193" width="3" style="1" customWidth="1"/>
    <col min="8194" max="8194" width="23" style="1" customWidth="1"/>
    <col min="8195" max="8206" width="7.5546875" style="1" bestFit="1" customWidth="1"/>
    <col min="8207" max="8209" width="9.88671875" style="1" customWidth="1"/>
    <col min="8210" max="8448" width="11" style="1"/>
    <col min="8449" max="8449" width="3" style="1" customWidth="1"/>
    <col min="8450" max="8450" width="23" style="1" customWidth="1"/>
    <col min="8451" max="8462" width="7.5546875" style="1" bestFit="1" customWidth="1"/>
    <col min="8463" max="8465" width="9.88671875" style="1" customWidth="1"/>
    <col min="8466" max="8704" width="11" style="1"/>
    <col min="8705" max="8705" width="3" style="1" customWidth="1"/>
    <col min="8706" max="8706" width="23" style="1" customWidth="1"/>
    <col min="8707" max="8718" width="7.5546875" style="1" bestFit="1" customWidth="1"/>
    <col min="8719" max="8721" width="9.88671875" style="1" customWidth="1"/>
    <col min="8722" max="8960" width="11" style="1"/>
    <col min="8961" max="8961" width="3" style="1" customWidth="1"/>
    <col min="8962" max="8962" width="23" style="1" customWidth="1"/>
    <col min="8963" max="8974" width="7.5546875" style="1" bestFit="1" customWidth="1"/>
    <col min="8975" max="8977" width="9.88671875" style="1" customWidth="1"/>
    <col min="8978" max="9216" width="11" style="1"/>
    <col min="9217" max="9217" width="3" style="1" customWidth="1"/>
    <col min="9218" max="9218" width="23" style="1" customWidth="1"/>
    <col min="9219" max="9230" width="7.5546875" style="1" bestFit="1" customWidth="1"/>
    <col min="9231" max="9233" width="9.88671875" style="1" customWidth="1"/>
    <col min="9234" max="9472" width="11" style="1"/>
    <col min="9473" max="9473" width="3" style="1" customWidth="1"/>
    <col min="9474" max="9474" width="23" style="1" customWidth="1"/>
    <col min="9475" max="9486" width="7.5546875" style="1" bestFit="1" customWidth="1"/>
    <col min="9487" max="9489" width="9.88671875" style="1" customWidth="1"/>
    <col min="9490" max="9728" width="11" style="1"/>
    <col min="9729" max="9729" width="3" style="1" customWidth="1"/>
    <col min="9730" max="9730" width="23" style="1" customWidth="1"/>
    <col min="9731" max="9742" width="7.5546875" style="1" bestFit="1" customWidth="1"/>
    <col min="9743" max="9745" width="9.88671875" style="1" customWidth="1"/>
    <col min="9746" max="9984" width="11" style="1"/>
    <col min="9985" max="9985" width="3" style="1" customWidth="1"/>
    <col min="9986" max="9986" width="23" style="1" customWidth="1"/>
    <col min="9987" max="9998" width="7.5546875" style="1" bestFit="1" customWidth="1"/>
    <col min="9999" max="10001" width="9.88671875" style="1" customWidth="1"/>
    <col min="10002" max="10240" width="11" style="1"/>
    <col min="10241" max="10241" width="3" style="1" customWidth="1"/>
    <col min="10242" max="10242" width="23" style="1" customWidth="1"/>
    <col min="10243" max="10254" width="7.5546875" style="1" bestFit="1" customWidth="1"/>
    <col min="10255" max="10257" width="9.88671875" style="1" customWidth="1"/>
    <col min="10258" max="10496" width="11" style="1"/>
    <col min="10497" max="10497" width="3" style="1" customWidth="1"/>
    <col min="10498" max="10498" width="23" style="1" customWidth="1"/>
    <col min="10499" max="10510" width="7.5546875" style="1" bestFit="1" customWidth="1"/>
    <col min="10511" max="10513" width="9.88671875" style="1" customWidth="1"/>
    <col min="10514" max="10752" width="11" style="1"/>
    <col min="10753" max="10753" width="3" style="1" customWidth="1"/>
    <col min="10754" max="10754" width="23" style="1" customWidth="1"/>
    <col min="10755" max="10766" width="7.5546875" style="1" bestFit="1" customWidth="1"/>
    <col min="10767" max="10769" width="9.88671875" style="1" customWidth="1"/>
    <col min="10770" max="11008" width="11" style="1"/>
    <col min="11009" max="11009" width="3" style="1" customWidth="1"/>
    <col min="11010" max="11010" width="23" style="1" customWidth="1"/>
    <col min="11011" max="11022" width="7.5546875" style="1" bestFit="1" customWidth="1"/>
    <col min="11023" max="11025" width="9.88671875" style="1" customWidth="1"/>
    <col min="11026" max="11264" width="11" style="1"/>
    <col min="11265" max="11265" width="3" style="1" customWidth="1"/>
    <col min="11266" max="11266" width="23" style="1" customWidth="1"/>
    <col min="11267" max="11278" width="7.5546875" style="1" bestFit="1" customWidth="1"/>
    <col min="11279" max="11281" width="9.88671875" style="1" customWidth="1"/>
    <col min="11282" max="11520" width="11" style="1"/>
    <col min="11521" max="11521" width="3" style="1" customWidth="1"/>
    <col min="11522" max="11522" width="23" style="1" customWidth="1"/>
    <col min="11523" max="11534" width="7.5546875" style="1" bestFit="1" customWidth="1"/>
    <col min="11535" max="11537" width="9.88671875" style="1" customWidth="1"/>
    <col min="11538" max="11776" width="11" style="1"/>
    <col min="11777" max="11777" width="3" style="1" customWidth="1"/>
    <col min="11778" max="11778" width="23" style="1" customWidth="1"/>
    <col min="11779" max="11790" width="7.5546875" style="1" bestFit="1" customWidth="1"/>
    <col min="11791" max="11793" width="9.88671875" style="1" customWidth="1"/>
    <col min="11794" max="12032" width="11" style="1"/>
    <col min="12033" max="12033" width="3" style="1" customWidth="1"/>
    <col min="12034" max="12034" width="23" style="1" customWidth="1"/>
    <col min="12035" max="12046" width="7.5546875" style="1" bestFit="1" customWidth="1"/>
    <col min="12047" max="12049" width="9.88671875" style="1" customWidth="1"/>
    <col min="12050" max="12288" width="11" style="1"/>
    <col min="12289" max="12289" width="3" style="1" customWidth="1"/>
    <col min="12290" max="12290" width="23" style="1" customWidth="1"/>
    <col min="12291" max="12302" width="7.5546875" style="1" bestFit="1" customWidth="1"/>
    <col min="12303" max="12305" width="9.88671875" style="1" customWidth="1"/>
    <col min="12306" max="12544" width="11" style="1"/>
    <col min="12545" max="12545" width="3" style="1" customWidth="1"/>
    <col min="12546" max="12546" width="23" style="1" customWidth="1"/>
    <col min="12547" max="12558" width="7.5546875" style="1" bestFit="1" customWidth="1"/>
    <col min="12559" max="12561" width="9.88671875" style="1" customWidth="1"/>
    <col min="12562" max="12800" width="11" style="1"/>
    <col min="12801" max="12801" width="3" style="1" customWidth="1"/>
    <col min="12802" max="12802" width="23" style="1" customWidth="1"/>
    <col min="12803" max="12814" width="7.5546875" style="1" bestFit="1" customWidth="1"/>
    <col min="12815" max="12817" width="9.88671875" style="1" customWidth="1"/>
    <col min="12818" max="13056" width="11" style="1"/>
    <col min="13057" max="13057" width="3" style="1" customWidth="1"/>
    <col min="13058" max="13058" width="23" style="1" customWidth="1"/>
    <col min="13059" max="13070" width="7.5546875" style="1" bestFit="1" customWidth="1"/>
    <col min="13071" max="13073" width="9.88671875" style="1" customWidth="1"/>
    <col min="13074" max="13312" width="11" style="1"/>
    <col min="13313" max="13313" width="3" style="1" customWidth="1"/>
    <col min="13314" max="13314" width="23" style="1" customWidth="1"/>
    <col min="13315" max="13326" width="7.5546875" style="1" bestFit="1" customWidth="1"/>
    <col min="13327" max="13329" width="9.88671875" style="1" customWidth="1"/>
    <col min="13330" max="13568" width="11" style="1"/>
    <col min="13569" max="13569" width="3" style="1" customWidth="1"/>
    <col min="13570" max="13570" width="23" style="1" customWidth="1"/>
    <col min="13571" max="13582" width="7.5546875" style="1" bestFit="1" customWidth="1"/>
    <col min="13583" max="13585" width="9.88671875" style="1" customWidth="1"/>
    <col min="13586" max="13824" width="11" style="1"/>
    <col min="13825" max="13825" width="3" style="1" customWidth="1"/>
    <col min="13826" max="13826" width="23" style="1" customWidth="1"/>
    <col min="13827" max="13838" width="7.5546875" style="1" bestFit="1" customWidth="1"/>
    <col min="13839" max="13841" width="9.88671875" style="1" customWidth="1"/>
    <col min="13842" max="14080" width="11" style="1"/>
    <col min="14081" max="14081" width="3" style="1" customWidth="1"/>
    <col min="14082" max="14082" width="23" style="1" customWidth="1"/>
    <col min="14083" max="14094" width="7.5546875" style="1" bestFit="1" customWidth="1"/>
    <col min="14095" max="14097" width="9.88671875" style="1" customWidth="1"/>
    <col min="14098" max="14336" width="11" style="1"/>
    <col min="14337" max="14337" width="3" style="1" customWidth="1"/>
    <col min="14338" max="14338" width="23" style="1" customWidth="1"/>
    <col min="14339" max="14350" width="7.5546875" style="1" bestFit="1" customWidth="1"/>
    <col min="14351" max="14353" width="9.88671875" style="1" customWidth="1"/>
    <col min="14354" max="14592" width="11" style="1"/>
    <col min="14593" max="14593" width="3" style="1" customWidth="1"/>
    <col min="14594" max="14594" width="23" style="1" customWidth="1"/>
    <col min="14595" max="14606" width="7.5546875" style="1" bestFit="1" customWidth="1"/>
    <col min="14607" max="14609" width="9.88671875" style="1" customWidth="1"/>
    <col min="14610" max="14848" width="11" style="1"/>
    <col min="14849" max="14849" width="3" style="1" customWidth="1"/>
    <col min="14850" max="14850" width="23" style="1" customWidth="1"/>
    <col min="14851" max="14862" width="7.5546875" style="1" bestFit="1" customWidth="1"/>
    <col min="14863" max="14865" width="9.88671875" style="1" customWidth="1"/>
    <col min="14866" max="15104" width="11" style="1"/>
    <col min="15105" max="15105" width="3" style="1" customWidth="1"/>
    <col min="15106" max="15106" width="23" style="1" customWidth="1"/>
    <col min="15107" max="15118" width="7.5546875" style="1" bestFit="1" customWidth="1"/>
    <col min="15119" max="15121" width="9.88671875" style="1" customWidth="1"/>
    <col min="15122" max="15360" width="11" style="1"/>
    <col min="15361" max="15361" width="3" style="1" customWidth="1"/>
    <col min="15362" max="15362" width="23" style="1" customWidth="1"/>
    <col min="15363" max="15374" width="7.5546875" style="1" bestFit="1" customWidth="1"/>
    <col min="15375" max="15377" width="9.88671875" style="1" customWidth="1"/>
    <col min="15378" max="15616" width="11" style="1"/>
    <col min="15617" max="15617" width="3" style="1" customWidth="1"/>
    <col min="15618" max="15618" width="23" style="1" customWidth="1"/>
    <col min="15619" max="15630" width="7.5546875" style="1" bestFit="1" customWidth="1"/>
    <col min="15631" max="15633" width="9.88671875" style="1" customWidth="1"/>
    <col min="15634" max="15872" width="11" style="1"/>
    <col min="15873" max="15873" width="3" style="1" customWidth="1"/>
    <col min="15874" max="15874" width="23" style="1" customWidth="1"/>
    <col min="15875" max="15886" width="7.5546875" style="1" bestFit="1" customWidth="1"/>
    <col min="15887" max="15889" width="9.88671875" style="1" customWidth="1"/>
    <col min="15890" max="16128" width="11" style="1"/>
    <col min="16129" max="16129" width="3" style="1" customWidth="1"/>
    <col min="16130" max="16130" width="23" style="1" customWidth="1"/>
    <col min="16131" max="16142" width="7.5546875" style="1" bestFit="1" customWidth="1"/>
    <col min="16143" max="16145" width="9.88671875" style="1" customWidth="1"/>
    <col min="16146" max="16384" width="11" style="1"/>
  </cols>
  <sheetData>
    <row r="1" spans="1:19" ht="15.6" x14ac:dyDescent="0.3">
      <c r="A1" s="405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7"/>
    </row>
    <row r="2" spans="1:19" x14ac:dyDescent="0.15">
      <c r="A2" s="408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10"/>
    </row>
    <row r="3" spans="1:19" ht="12" customHeight="1" thickBot="1" x14ac:dyDescent="0.3">
      <c r="A3" s="411" t="s">
        <v>1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3"/>
    </row>
    <row r="4" spans="1:19" s="71" customFormat="1" ht="9.9" customHeight="1" thickTop="1" x14ac:dyDescent="0.2">
      <c r="A4" s="430" t="s">
        <v>2</v>
      </c>
      <c r="B4" s="432" t="s">
        <v>3</v>
      </c>
      <c r="C4" s="434" t="s">
        <v>68</v>
      </c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5"/>
    </row>
    <row r="5" spans="1:19" s="71" customFormat="1" ht="9.9" customHeight="1" x14ac:dyDescent="0.2">
      <c r="A5" s="431"/>
      <c r="B5" s="433"/>
      <c r="C5" s="72" t="s">
        <v>5</v>
      </c>
      <c r="D5" s="72" t="s">
        <v>6</v>
      </c>
      <c r="E5" s="72" t="s">
        <v>7</v>
      </c>
      <c r="F5" s="72" t="s">
        <v>8</v>
      </c>
      <c r="G5" s="72" t="s">
        <v>9</v>
      </c>
      <c r="H5" s="72" t="s">
        <v>10</v>
      </c>
      <c r="I5" s="72" t="s">
        <v>11</v>
      </c>
      <c r="J5" s="72" t="s">
        <v>12</v>
      </c>
      <c r="K5" s="72" t="s">
        <v>13</v>
      </c>
      <c r="L5" s="72" t="s">
        <v>14</v>
      </c>
      <c r="M5" s="72" t="s">
        <v>15</v>
      </c>
      <c r="N5" s="73" t="s">
        <v>16</v>
      </c>
    </row>
    <row r="6" spans="1:19" s="71" customFormat="1" ht="9.6" customHeight="1" x14ac:dyDescent="0.2">
      <c r="A6" s="74">
        <v>1</v>
      </c>
      <c r="B6" s="75" t="s">
        <v>17</v>
      </c>
      <c r="C6" s="76">
        <v>17586.900000000001</v>
      </c>
      <c r="D6" s="76">
        <v>17586.900000000001</v>
      </c>
      <c r="E6" s="76">
        <v>17586.900000000001</v>
      </c>
      <c r="F6" s="76">
        <v>17896.900000000001</v>
      </c>
      <c r="G6" s="76">
        <v>18856.900000000001</v>
      </c>
      <c r="H6" s="76">
        <v>19137</v>
      </c>
      <c r="I6" s="76">
        <v>19136.900000000001</v>
      </c>
      <c r="J6" s="76">
        <v>19886.900000000001</v>
      </c>
      <c r="K6" s="76">
        <v>20097</v>
      </c>
      <c r="L6" s="76">
        <v>21027</v>
      </c>
      <c r="M6" s="76">
        <v>21026.9</v>
      </c>
      <c r="N6" s="77">
        <v>21026.9</v>
      </c>
    </row>
    <row r="7" spans="1:19" s="82" customFormat="1" ht="9.6" customHeight="1" x14ac:dyDescent="0.2">
      <c r="A7" s="78"/>
      <c r="B7" s="79" t="s">
        <v>18</v>
      </c>
      <c r="C7" s="80">
        <v>14227.4</v>
      </c>
      <c r="D7" s="80">
        <v>14196.9</v>
      </c>
      <c r="E7" s="80">
        <v>14061.9</v>
      </c>
      <c r="F7" s="80">
        <v>14840.2</v>
      </c>
      <c r="G7" s="80">
        <v>16003.1</v>
      </c>
      <c r="H7" s="80">
        <v>16413.400000000001</v>
      </c>
      <c r="I7" s="80">
        <v>16563</v>
      </c>
      <c r="J7" s="80">
        <v>17375.599999999999</v>
      </c>
      <c r="K7" s="80">
        <v>17945.400000000001</v>
      </c>
      <c r="L7" s="80">
        <v>18996.7</v>
      </c>
      <c r="M7" s="80">
        <v>18635.7</v>
      </c>
      <c r="N7" s="81">
        <v>18480.900000000001</v>
      </c>
      <c r="S7" s="83"/>
    </row>
    <row r="8" spans="1:19" s="89" customFormat="1" ht="9.6" customHeight="1" x14ac:dyDescent="0.2">
      <c r="A8" s="84"/>
      <c r="B8" s="85" t="s">
        <v>19</v>
      </c>
      <c r="C8" s="86">
        <v>4386.8</v>
      </c>
      <c r="D8" s="86">
        <v>4201.7</v>
      </c>
      <c r="E8" s="86">
        <v>4171.7</v>
      </c>
      <c r="F8" s="87">
        <v>5231.7</v>
      </c>
      <c r="G8" s="87">
        <v>4873.7</v>
      </c>
      <c r="H8" s="87">
        <v>2654.4</v>
      </c>
      <c r="I8" s="87">
        <v>1704.4</v>
      </c>
      <c r="J8" s="87">
        <v>2354.4</v>
      </c>
      <c r="K8" s="80">
        <v>912.8</v>
      </c>
      <c r="L8" s="87">
        <v>2038.4</v>
      </c>
      <c r="M8" s="87">
        <v>3739.1</v>
      </c>
      <c r="N8" s="88">
        <v>2794.9</v>
      </c>
      <c r="S8" s="90"/>
    </row>
    <row r="9" spans="1:19" s="89" customFormat="1" ht="9.6" customHeight="1" x14ac:dyDescent="0.2">
      <c r="A9" s="84"/>
      <c r="B9" s="85" t="s">
        <v>23</v>
      </c>
      <c r="C9" s="87">
        <v>9840.6</v>
      </c>
      <c r="D9" s="87">
        <v>9995.2000000000007</v>
      </c>
      <c r="E9" s="87">
        <v>9890.2000000000007</v>
      </c>
      <c r="F9" s="87">
        <v>9608.5</v>
      </c>
      <c r="G9" s="87">
        <v>11129.4</v>
      </c>
      <c r="H9" s="87">
        <v>13759</v>
      </c>
      <c r="I9" s="87">
        <v>14858.6</v>
      </c>
      <c r="J9" s="87">
        <v>15021.2</v>
      </c>
      <c r="K9" s="87">
        <v>17032.599999999999</v>
      </c>
      <c r="L9" s="87">
        <v>16958.3</v>
      </c>
      <c r="M9" s="87">
        <v>14896.6</v>
      </c>
      <c r="N9" s="88">
        <v>15686</v>
      </c>
    </row>
    <row r="10" spans="1:19" s="82" customFormat="1" ht="9.6" customHeight="1" x14ac:dyDescent="0.2">
      <c r="A10" s="78"/>
      <c r="B10" s="79" t="s">
        <v>24</v>
      </c>
      <c r="C10" s="80">
        <v>3359.5</v>
      </c>
      <c r="D10" s="80">
        <v>3390</v>
      </c>
      <c r="E10" s="80">
        <v>3525</v>
      </c>
      <c r="F10" s="80">
        <v>3056.7</v>
      </c>
      <c r="G10" s="80">
        <v>2853.8</v>
      </c>
      <c r="H10" s="80">
        <v>2723.6</v>
      </c>
      <c r="I10" s="80">
        <v>2573.9</v>
      </c>
      <c r="J10" s="80">
        <v>2511.3000000000002</v>
      </c>
      <c r="K10" s="80">
        <v>2151.6</v>
      </c>
      <c r="L10" s="80">
        <v>2030.3</v>
      </c>
      <c r="M10" s="80">
        <v>2391.1999999999998</v>
      </c>
      <c r="N10" s="81">
        <v>2546</v>
      </c>
      <c r="S10" s="83"/>
    </row>
    <row r="11" spans="1:19" s="89" customFormat="1" ht="9.6" customHeight="1" x14ac:dyDescent="0.2">
      <c r="A11" s="84"/>
      <c r="B11" s="85" t="s">
        <v>25</v>
      </c>
      <c r="C11" s="87">
        <v>1890.4</v>
      </c>
      <c r="D11" s="87">
        <v>1920.9</v>
      </c>
      <c r="E11" s="87">
        <v>2055.9</v>
      </c>
      <c r="F11" s="87">
        <v>2087.3000000000002</v>
      </c>
      <c r="G11" s="87">
        <v>1874.4</v>
      </c>
      <c r="H11" s="87">
        <v>2026.1</v>
      </c>
      <c r="I11" s="87">
        <v>2025.4</v>
      </c>
      <c r="J11" s="87">
        <v>1957.8</v>
      </c>
      <c r="K11" s="87">
        <v>2095.6</v>
      </c>
      <c r="L11" s="87">
        <v>1986.3</v>
      </c>
      <c r="M11" s="87">
        <v>2302.1999999999998</v>
      </c>
      <c r="N11" s="88">
        <v>2347.5</v>
      </c>
      <c r="S11" s="90"/>
    </row>
    <row r="12" spans="1:19" s="71" customFormat="1" ht="9.6" customHeight="1" x14ac:dyDescent="0.2">
      <c r="A12" s="74">
        <v>2</v>
      </c>
      <c r="B12" s="75" t="s">
        <v>26</v>
      </c>
      <c r="C12" s="76">
        <v>3872.2</v>
      </c>
      <c r="D12" s="76">
        <v>3872.2</v>
      </c>
      <c r="E12" s="76">
        <v>3872.2</v>
      </c>
      <c r="F12" s="76">
        <v>3472.2</v>
      </c>
      <c r="G12" s="76">
        <v>3472.2</v>
      </c>
      <c r="H12" s="76">
        <v>3472.2</v>
      </c>
      <c r="I12" s="76">
        <v>3472.2</v>
      </c>
      <c r="J12" s="76">
        <v>3472.2</v>
      </c>
      <c r="K12" s="76">
        <v>3472.2</v>
      </c>
      <c r="L12" s="76">
        <v>3472.2</v>
      </c>
      <c r="M12" s="76">
        <v>4262.2</v>
      </c>
      <c r="N12" s="77">
        <v>4262.2</v>
      </c>
      <c r="S12" s="91"/>
    </row>
    <row r="13" spans="1:19" s="82" customFormat="1" ht="9.6" customHeight="1" x14ac:dyDescent="0.2">
      <c r="A13" s="78"/>
      <c r="B13" s="79" t="s">
        <v>18</v>
      </c>
      <c r="C13" s="80">
        <v>3177.2</v>
      </c>
      <c r="D13" s="80">
        <v>3177.2</v>
      </c>
      <c r="E13" s="80">
        <v>3177.2</v>
      </c>
      <c r="F13" s="80">
        <v>2777.2</v>
      </c>
      <c r="G13" s="80">
        <v>2777.2</v>
      </c>
      <c r="H13" s="80">
        <v>2777.2</v>
      </c>
      <c r="I13" s="80">
        <v>3173.5</v>
      </c>
      <c r="J13" s="80">
        <v>3170.2</v>
      </c>
      <c r="K13" s="80">
        <v>3100.1</v>
      </c>
      <c r="L13" s="80">
        <v>2700.1</v>
      </c>
      <c r="M13" s="80">
        <v>3068.1</v>
      </c>
      <c r="N13" s="81">
        <v>3071.6</v>
      </c>
      <c r="P13" s="83"/>
      <c r="Q13" s="83"/>
      <c r="S13" s="83"/>
    </row>
    <row r="14" spans="1:19" s="89" customFormat="1" ht="9.6" customHeight="1" x14ac:dyDescent="0.2">
      <c r="A14" s="84"/>
      <c r="B14" s="85" t="s">
        <v>53</v>
      </c>
      <c r="C14" s="87">
        <v>1518.6</v>
      </c>
      <c r="D14" s="87">
        <v>1518.6</v>
      </c>
      <c r="E14" s="87">
        <v>1518.6</v>
      </c>
      <c r="F14" s="87">
        <v>1518.6</v>
      </c>
      <c r="G14" s="87">
        <v>1518.6</v>
      </c>
      <c r="H14" s="87">
        <v>1518.6</v>
      </c>
      <c r="I14" s="87">
        <v>1994.9</v>
      </c>
      <c r="J14" s="87">
        <v>1991.6</v>
      </c>
      <c r="K14" s="87">
        <v>1921.5</v>
      </c>
      <c r="L14" s="87">
        <v>1521.5</v>
      </c>
      <c r="M14" s="87">
        <v>1519</v>
      </c>
      <c r="N14" s="88">
        <v>1522.5</v>
      </c>
      <c r="P14" s="90"/>
      <c r="Q14" s="90"/>
      <c r="S14" s="90"/>
    </row>
    <row r="15" spans="1:19" s="89" customFormat="1" ht="9.6" customHeight="1" x14ac:dyDescent="0.2">
      <c r="A15" s="84"/>
      <c r="B15" s="85" t="s">
        <v>23</v>
      </c>
      <c r="C15" s="87">
        <v>1658.6</v>
      </c>
      <c r="D15" s="87">
        <v>1658.6</v>
      </c>
      <c r="E15" s="87">
        <v>1658.6</v>
      </c>
      <c r="F15" s="87">
        <v>1258.5999999999999</v>
      </c>
      <c r="G15" s="87">
        <v>1258.5999999999999</v>
      </c>
      <c r="H15" s="87">
        <v>1258.5999999999999</v>
      </c>
      <c r="I15" s="87">
        <v>1178.5999999999999</v>
      </c>
      <c r="J15" s="87">
        <v>1178.5999999999999</v>
      </c>
      <c r="K15" s="87">
        <v>1178.5999999999999</v>
      </c>
      <c r="L15" s="87">
        <v>1178.5999999999999</v>
      </c>
      <c r="M15" s="87">
        <v>1549.1</v>
      </c>
      <c r="N15" s="88">
        <v>1549.1</v>
      </c>
      <c r="S15" s="90"/>
    </row>
    <row r="16" spans="1:19" s="82" customFormat="1" ht="9.6" customHeight="1" x14ac:dyDescent="0.2">
      <c r="A16" s="78"/>
      <c r="B16" s="79" t="s">
        <v>54</v>
      </c>
      <c r="C16" s="80">
        <v>695</v>
      </c>
      <c r="D16" s="80">
        <v>695</v>
      </c>
      <c r="E16" s="80">
        <v>695</v>
      </c>
      <c r="F16" s="80">
        <v>695</v>
      </c>
      <c r="G16" s="80">
        <v>695</v>
      </c>
      <c r="H16" s="80">
        <v>695</v>
      </c>
      <c r="I16" s="80">
        <v>298.7</v>
      </c>
      <c r="J16" s="80">
        <v>302</v>
      </c>
      <c r="K16" s="80">
        <v>372.1</v>
      </c>
      <c r="L16" s="80">
        <v>772.1</v>
      </c>
      <c r="M16" s="80">
        <v>1194.0999999999999</v>
      </c>
      <c r="N16" s="81">
        <v>1190.5999999999999</v>
      </c>
      <c r="P16" s="83"/>
      <c r="Q16" s="83"/>
      <c r="S16" s="83"/>
    </row>
    <row r="17" spans="1:19" s="71" customFormat="1" ht="9.6" customHeight="1" x14ac:dyDescent="0.2">
      <c r="A17" s="74">
        <v>3</v>
      </c>
      <c r="B17" s="75" t="s">
        <v>29</v>
      </c>
      <c r="C17" s="76">
        <v>10426.4</v>
      </c>
      <c r="D17" s="76">
        <v>10426.4</v>
      </c>
      <c r="E17" s="76">
        <v>10176.4</v>
      </c>
      <c r="F17" s="76">
        <v>10176.4</v>
      </c>
      <c r="G17" s="76">
        <v>10176.4</v>
      </c>
      <c r="H17" s="76">
        <v>10176.4</v>
      </c>
      <c r="I17" s="76">
        <v>10076.4</v>
      </c>
      <c r="J17" s="76">
        <v>10076.4</v>
      </c>
      <c r="K17" s="76">
        <v>10076.4</v>
      </c>
      <c r="L17" s="76">
        <v>10776.4</v>
      </c>
      <c r="M17" s="76">
        <v>11476.4</v>
      </c>
      <c r="N17" s="77">
        <v>11526.4</v>
      </c>
      <c r="P17" s="91"/>
      <c r="Q17" s="91"/>
      <c r="S17" s="91"/>
    </row>
    <row r="18" spans="1:19" s="82" customFormat="1" ht="9.6" customHeight="1" x14ac:dyDescent="0.2">
      <c r="A18" s="78"/>
      <c r="B18" s="79" t="s">
        <v>18</v>
      </c>
      <c r="C18" s="80">
        <v>156.1</v>
      </c>
      <c r="D18" s="80">
        <v>155.6</v>
      </c>
      <c r="E18" s="80">
        <v>155</v>
      </c>
      <c r="F18" s="80">
        <v>154.5</v>
      </c>
      <c r="G18" s="80">
        <v>155.4</v>
      </c>
      <c r="H18" s="80">
        <v>154.5</v>
      </c>
      <c r="I18" s="80">
        <v>154.5</v>
      </c>
      <c r="J18" s="80">
        <v>154.5</v>
      </c>
      <c r="K18" s="80">
        <v>154.6</v>
      </c>
      <c r="L18" s="80">
        <v>154.6</v>
      </c>
      <c r="M18" s="80">
        <v>162.80000000000001</v>
      </c>
      <c r="N18" s="81">
        <v>558.20000000000005</v>
      </c>
      <c r="S18" s="83"/>
    </row>
    <row r="19" spans="1:19" s="89" customFormat="1" ht="9.6" customHeight="1" x14ac:dyDescent="0.2">
      <c r="A19" s="84"/>
      <c r="B19" s="85" t="s">
        <v>19</v>
      </c>
      <c r="C19" s="87">
        <v>1.6</v>
      </c>
      <c r="D19" s="87">
        <v>1.1000000000000001</v>
      </c>
      <c r="E19" s="87">
        <v>0.5</v>
      </c>
      <c r="F19" s="87">
        <v>0</v>
      </c>
      <c r="G19" s="87">
        <v>0.9</v>
      </c>
      <c r="H19" s="87">
        <v>0</v>
      </c>
      <c r="I19" s="87">
        <v>0</v>
      </c>
      <c r="J19" s="87">
        <v>0</v>
      </c>
      <c r="K19" s="87">
        <v>0.1</v>
      </c>
      <c r="L19" s="87">
        <v>0.1</v>
      </c>
      <c r="M19" s="87">
        <v>8.3000000000000007</v>
      </c>
      <c r="N19" s="88">
        <v>403.7</v>
      </c>
      <c r="S19" s="90"/>
    </row>
    <row r="20" spans="1:19" s="89" customFormat="1" ht="9.6" customHeight="1" x14ac:dyDescent="0.2">
      <c r="A20" s="84"/>
      <c r="B20" s="85" t="s">
        <v>23</v>
      </c>
      <c r="C20" s="87">
        <v>154.5</v>
      </c>
      <c r="D20" s="87">
        <v>154.5</v>
      </c>
      <c r="E20" s="87">
        <v>154.5</v>
      </c>
      <c r="F20" s="87">
        <v>154.5</v>
      </c>
      <c r="G20" s="87">
        <v>154.5</v>
      </c>
      <c r="H20" s="87">
        <v>154.5</v>
      </c>
      <c r="I20" s="87">
        <v>154.5</v>
      </c>
      <c r="J20" s="87">
        <v>154.5</v>
      </c>
      <c r="K20" s="87">
        <v>154.5</v>
      </c>
      <c r="L20" s="87">
        <v>154.5</v>
      </c>
      <c r="M20" s="87">
        <v>154.5</v>
      </c>
      <c r="N20" s="88">
        <v>154.5</v>
      </c>
      <c r="P20" s="90"/>
      <c r="Q20" s="90"/>
      <c r="S20" s="90"/>
    </row>
    <row r="21" spans="1:19" s="82" customFormat="1" ht="9.6" customHeight="1" x14ac:dyDescent="0.2">
      <c r="A21" s="78"/>
      <c r="B21" s="79" t="s">
        <v>55</v>
      </c>
      <c r="C21" s="80">
        <v>10270.299999999999</v>
      </c>
      <c r="D21" s="80">
        <v>10270.799999999999</v>
      </c>
      <c r="E21" s="80">
        <v>10021.4</v>
      </c>
      <c r="F21" s="80">
        <v>10021.9</v>
      </c>
      <c r="G21" s="80">
        <v>10021</v>
      </c>
      <c r="H21" s="80">
        <v>10021.9</v>
      </c>
      <c r="I21" s="80">
        <v>9921.9</v>
      </c>
      <c r="J21" s="80">
        <v>9921.9</v>
      </c>
      <c r="K21" s="80">
        <v>9921.7999999999993</v>
      </c>
      <c r="L21" s="80">
        <v>10621.8</v>
      </c>
      <c r="M21" s="80">
        <v>11313.6</v>
      </c>
      <c r="N21" s="81">
        <v>10968.2</v>
      </c>
      <c r="P21" s="83"/>
      <c r="Q21" s="83"/>
      <c r="S21" s="83"/>
    </row>
    <row r="22" spans="1:19" s="71" customFormat="1" ht="9.6" customHeight="1" x14ac:dyDescent="0.2">
      <c r="A22" s="74">
        <v>4</v>
      </c>
      <c r="B22" s="75" t="s">
        <v>34</v>
      </c>
      <c r="C22" s="76">
        <v>17784.2</v>
      </c>
      <c r="D22" s="76">
        <v>17784.2</v>
      </c>
      <c r="E22" s="76">
        <v>17784.2</v>
      </c>
      <c r="F22" s="76">
        <v>17784.2</v>
      </c>
      <c r="G22" s="76">
        <v>17784.2</v>
      </c>
      <c r="H22" s="76">
        <v>17667</v>
      </c>
      <c r="I22" s="76">
        <v>17667</v>
      </c>
      <c r="J22" s="76">
        <v>17667.099999999999</v>
      </c>
      <c r="K22" s="76">
        <v>17667.099999999999</v>
      </c>
      <c r="L22" s="76">
        <v>17667.099999999999</v>
      </c>
      <c r="M22" s="76">
        <v>17659.400000000001</v>
      </c>
      <c r="N22" s="77">
        <v>17656.8</v>
      </c>
      <c r="S22" s="91"/>
    </row>
    <row r="23" spans="1:19" s="82" customFormat="1" ht="9.6" customHeight="1" x14ac:dyDescent="0.2">
      <c r="A23" s="78"/>
      <c r="B23" s="79" t="s">
        <v>18</v>
      </c>
      <c r="C23" s="80">
        <v>16310.7</v>
      </c>
      <c r="D23" s="80">
        <v>16310.7</v>
      </c>
      <c r="E23" s="80">
        <v>16310.7</v>
      </c>
      <c r="F23" s="80">
        <v>16310.7</v>
      </c>
      <c r="G23" s="80">
        <v>16310.7</v>
      </c>
      <c r="H23" s="80">
        <v>16193.5</v>
      </c>
      <c r="I23" s="80">
        <v>16193.6</v>
      </c>
      <c r="J23" s="80">
        <v>16193.6</v>
      </c>
      <c r="K23" s="80">
        <v>16193.6</v>
      </c>
      <c r="L23" s="80">
        <v>16193.6</v>
      </c>
      <c r="M23" s="80">
        <v>16185.9</v>
      </c>
      <c r="N23" s="81">
        <v>16183.3</v>
      </c>
      <c r="P23" s="83"/>
      <c r="Q23" s="83"/>
      <c r="S23" s="83"/>
    </row>
    <row r="24" spans="1:19" s="89" customFormat="1" ht="9.6" customHeight="1" x14ac:dyDescent="0.2">
      <c r="A24" s="84"/>
      <c r="B24" s="85" t="s">
        <v>56</v>
      </c>
      <c r="C24" s="87">
        <v>15523.7</v>
      </c>
      <c r="D24" s="87">
        <v>15523.7</v>
      </c>
      <c r="E24" s="87">
        <v>15523.7</v>
      </c>
      <c r="F24" s="87">
        <v>15523.7</v>
      </c>
      <c r="G24" s="87">
        <v>15523.7</v>
      </c>
      <c r="H24" s="87">
        <v>15406.5</v>
      </c>
      <c r="I24" s="87">
        <v>15406.6</v>
      </c>
      <c r="J24" s="87">
        <v>15406.6</v>
      </c>
      <c r="K24" s="87">
        <v>15406.6</v>
      </c>
      <c r="L24" s="87">
        <v>15406.6</v>
      </c>
      <c r="M24" s="87">
        <v>15398.9</v>
      </c>
      <c r="N24" s="88">
        <v>15396.3</v>
      </c>
      <c r="S24" s="90"/>
    </row>
    <row r="25" spans="1:19" s="89" customFormat="1" ht="9.6" customHeight="1" x14ac:dyDescent="0.2">
      <c r="A25" s="84"/>
      <c r="B25" s="85" t="s">
        <v>23</v>
      </c>
      <c r="C25" s="87">
        <v>787</v>
      </c>
      <c r="D25" s="87">
        <v>787</v>
      </c>
      <c r="E25" s="87">
        <v>787</v>
      </c>
      <c r="F25" s="87">
        <v>787</v>
      </c>
      <c r="G25" s="87">
        <v>787</v>
      </c>
      <c r="H25" s="87">
        <v>787</v>
      </c>
      <c r="I25" s="87">
        <v>787</v>
      </c>
      <c r="J25" s="87">
        <v>787</v>
      </c>
      <c r="K25" s="87">
        <v>787</v>
      </c>
      <c r="L25" s="87">
        <v>787</v>
      </c>
      <c r="M25" s="87">
        <v>787</v>
      </c>
      <c r="N25" s="88">
        <v>787</v>
      </c>
      <c r="S25" s="90"/>
    </row>
    <row r="26" spans="1:19" s="82" customFormat="1" ht="9.6" customHeight="1" x14ac:dyDescent="0.2">
      <c r="A26" s="78"/>
      <c r="B26" s="79" t="s">
        <v>36</v>
      </c>
      <c r="C26" s="80">
        <v>1473.5</v>
      </c>
      <c r="D26" s="80">
        <v>1473.5</v>
      </c>
      <c r="E26" s="80">
        <v>1473.5</v>
      </c>
      <c r="F26" s="80">
        <v>1473.5</v>
      </c>
      <c r="G26" s="80">
        <v>1473.5</v>
      </c>
      <c r="H26" s="80">
        <v>1473.5</v>
      </c>
      <c r="I26" s="80">
        <v>1473.4</v>
      </c>
      <c r="J26" s="80">
        <v>1473.5</v>
      </c>
      <c r="K26" s="80">
        <v>1473.5</v>
      </c>
      <c r="L26" s="80">
        <v>1473.5</v>
      </c>
      <c r="M26" s="80">
        <v>1473.5</v>
      </c>
      <c r="N26" s="81">
        <v>1473.5</v>
      </c>
      <c r="S26" s="83"/>
    </row>
    <row r="27" spans="1:19" s="71" customFormat="1" ht="9.6" customHeight="1" x14ac:dyDescent="0.2">
      <c r="A27" s="92">
        <v>5</v>
      </c>
      <c r="B27" s="75" t="s">
        <v>69</v>
      </c>
      <c r="C27" s="76">
        <v>-151.5</v>
      </c>
      <c r="D27" s="76">
        <v>-304.39999999999998</v>
      </c>
      <c r="E27" s="76">
        <v>2398.3000000000002</v>
      </c>
      <c r="F27" s="76">
        <v>1974.4</v>
      </c>
      <c r="G27" s="76">
        <v>942.2</v>
      </c>
      <c r="H27" s="76">
        <v>1188.5</v>
      </c>
      <c r="I27" s="76">
        <v>1852.1</v>
      </c>
      <c r="J27" s="76">
        <v>1557</v>
      </c>
      <c r="K27" s="76">
        <v>1846.8</v>
      </c>
      <c r="L27" s="76">
        <v>1838.6</v>
      </c>
      <c r="M27" s="76">
        <v>1200.4000000000001</v>
      </c>
      <c r="N27" s="77">
        <v>-171</v>
      </c>
      <c r="S27" s="91"/>
    </row>
    <row r="28" spans="1:19" s="82" customFormat="1" ht="9.6" customHeight="1" x14ac:dyDescent="0.2">
      <c r="A28" s="78"/>
      <c r="B28" s="79" t="s">
        <v>70</v>
      </c>
      <c r="C28" s="80">
        <v>-151.5</v>
      </c>
      <c r="D28" s="80">
        <v>-304.39999999999998</v>
      </c>
      <c r="E28" s="80">
        <v>2398.3000000000002</v>
      </c>
      <c r="F28" s="80">
        <v>1974.4</v>
      </c>
      <c r="G28" s="80">
        <v>942.2</v>
      </c>
      <c r="H28" s="80">
        <v>1188.5</v>
      </c>
      <c r="I28" s="80">
        <v>1852.1</v>
      </c>
      <c r="J28" s="80">
        <v>1557</v>
      </c>
      <c r="K28" s="80">
        <v>1846.8</v>
      </c>
      <c r="L28" s="80">
        <v>1838.6</v>
      </c>
      <c r="M28" s="80">
        <v>1200.4000000000001</v>
      </c>
      <c r="N28" s="81">
        <v>-171</v>
      </c>
      <c r="S28" s="83"/>
    </row>
    <row r="29" spans="1:19" s="71" customFormat="1" ht="9.6" customHeight="1" x14ac:dyDescent="0.2">
      <c r="A29" s="74">
        <v>6</v>
      </c>
      <c r="B29" s="75" t="s">
        <v>38</v>
      </c>
      <c r="C29" s="76">
        <v>49518.2</v>
      </c>
      <c r="D29" s="76">
        <v>49365.3</v>
      </c>
      <c r="E29" s="76">
        <v>51818</v>
      </c>
      <c r="F29" s="76">
        <v>51304.1</v>
      </c>
      <c r="G29" s="76">
        <v>51231.9</v>
      </c>
      <c r="H29" s="76">
        <v>51641.1</v>
      </c>
      <c r="I29" s="76">
        <v>52204.6</v>
      </c>
      <c r="J29" s="76">
        <v>52659.6</v>
      </c>
      <c r="K29" s="76">
        <v>53159.5</v>
      </c>
      <c r="L29" s="76">
        <v>54781.3</v>
      </c>
      <c r="M29" s="76">
        <v>55625.3</v>
      </c>
      <c r="N29" s="77">
        <v>54301.3</v>
      </c>
      <c r="S29" s="91"/>
    </row>
    <row r="30" spans="1:19" s="82" customFormat="1" ht="9.6" customHeight="1" x14ac:dyDescent="0.2">
      <c r="A30" s="93"/>
      <c r="B30" s="79" t="s">
        <v>18</v>
      </c>
      <c r="C30" s="80">
        <v>33719.9</v>
      </c>
      <c r="D30" s="80">
        <v>33536</v>
      </c>
      <c r="E30" s="80">
        <v>36103.1</v>
      </c>
      <c r="F30" s="80">
        <v>36057</v>
      </c>
      <c r="G30" s="80">
        <v>36188.6</v>
      </c>
      <c r="H30" s="80">
        <v>36727.1</v>
      </c>
      <c r="I30" s="80">
        <v>37936.699999999997</v>
      </c>
      <c r="J30" s="80">
        <v>38450.9</v>
      </c>
      <c r="K30" s="80">
        <v>39240.5</v>
      </c>
      <c r="L30" s="80">
        <v>39883.599999999999</v>
      </c>
      <c r="M30" s="80">
        <v>39252.9</v>
      </c>
      <c r="N30" s="81">
        <v>38123</v>
      </c>
      <c r="S30" s="83"/>
    </row>
    <row r="31" spans="1:19" s="89" customFormat="1" ht="9.6" customHeight="1" x14ac:dyDescent="0.2">
      <c r="A31" s="94"/>
      <c r="B31" s="85" t="s">
        <v>19</v>
      </c>
      <c r="C31" s="87">
        <v>21279.200000000001</v>
      </c>
      <c r="D31" s="87">
        <v>20940.7</v>
      </c>
      <c r="E31" s="87">
        <v>23612.799999999999</v>
      </c>
      <c r="F31" s="87">
        <v>24248.400000000001</v>
      </c>
      <c r="G31" s="87">
        <v>22859.1</v>
      </c>
      <c r="H31" s="87">
        <v>20768</v>
      </c>
      <c r="I31" s="87">
        <v>20958</v>
      </c>
      <c r="J31" s="87">
        <v>21309.599999999999</v>
      </c>
      <c r="K31" s="87">
        <v>20087.8</v>
      </c>
      <c r="L31" s="87">
        <v>20805.2</v>
      </c>
      <c r="M31" s="87">
        <v>21865.7</v>
      </c>
      <c r="N31" s="88">
        <v>19946.400000000001</v>
      </c>
      <c r="S31" s="90"/>
    </row>
    <row r="32" spans="1:19" s="89" customFormat="1" ht="9.6" customHeight="1" x14ac:dyDescent="0.2">
      <c r="A32" s="94"/>
      <c r="B32" s="85" t="s">
        <v>23</v>
      </c>
      <c r="C32" s="87">
        <v>12440.7</v>
      </c>
      <c r="D32" s="87">
        <v>12595.3</v>
      </c>
      <c r="E32" s="87">
        <v>12490.3</v>
      </c>
      <c r="F32" s="87">
        <v>11808.6</v>
      </c>
      <c r="G32" s="87">
        <v>13329.5</v>
      </c>
      <c r="H32" s="87">
        <v>15959.1</v>
      </c>
      <c r="I32" s="87">
        <v>16978.7</v>
      </c>
      <c r="J32" s="87">
        <v>17141.3</v>
      </c>
      <c r="K32" s="87">
        <v>19152.7</v>
      </c>
      <c r="L32" s="87">
        <v>19078.400000000001</v>
      </c>
      <c r="M32" s="87">
        <v>17387.2</v>
      </c>
      <c r="N32" s="88">
        <v>18176.599999999999</v>
      </c>
      <c r="S32" s="90"/>
    </row>
    <row r="33" spans="1:19" s="82" customFormat="1" ht="9.6" customHeight="1" x14ac:dyDescent="0.2">
      <c r="A33" s="93"/>
      <c r="B33" s="79" t="s">
        <v>24</v>
      </c>
      <c r="C33" s="80">
        <v>15798.3</v>
      </c>
      <c r="D33" s="80">
        <v>15829.3</v>
      </c>
      <c r="E33" s="80">
        <v>15714.9</v>
      </c>
      <c r="F33" s="80">
        <v>15247.1</v>
      </c>
      <c r="G33" s="80">
        <v>15043.3</v>
      </c>
      <c r="H33" s="80">
        <v>14914</v>
      </c>
      <c r="I33" s="80">
        <v>14267.9</v>
      </c>
      <c r="J33" s="80">
        <v>14208.7</v>
      </c>
      <c r="K33" s="80">
        <v>13919</v>
      </c>
      <c r="L33" s="80">
        <v>14897.7</v>
      </c>
      <c r="M33" s="80">
        <v>16372.4</v>
      </c>
      <c r="N33" s="81">
        <v>16178.3</v>
      </c>
      <c r="P33" s="83"/>
      <c r="Q33" s="83"/>
      <c r="S33" s="83"/>
    </row>
    <row r="34" spans="1:19" s="89" customFormat="1" ht="9.6" customHeight="1" thickBot="1" x14ac:dyDescent="0.25">
      <c r="A34" s="95"/>
      <c r="B34" s="96" t="s">
        <v>25</v>
      </c>
      <c r="C34" s="97">
        <v>1890.4</v>
      </c>
      <c r="D34" s="97">
        <v>1920.9</v>
      </c>
      <c r="E34" s="97">
        <v>2055.9</v>
      </c>
      <c r="F34" s="97">
        <v>2087.3000000000002</v>
      </c>
      <c r="G34" s="97">
        <v>1874.4</v>
      </c>
      <c r="H34" s="97">
        <v>2026.1</v>
      </c>
      <c r="I34" s="97">
        <v>2025.4</v>
      </c>
      <c r="J34" s="97">
        <v>1957.8</v>
      </c>
      <c r="K34" s="97">
        <v>2095.6</v>
      </c>
      <c r="L34" s="97">
        <v>1986.3</v>
      </c>
      <c r="M34" s="97">
        <v>2302.1999999999998</v>
      </c>
      <c r="N34" s="98">
        <v>2347.5</v>
      </c>
      <c r="P34" s="90"/>
      <c r="Q34" s="90"/>
      <c r="S34" s="90"/>
    </row>
    <row r="35" spans="1:19" s="82" customFormat="1" ht="12.75" customHeight="1" thickTop="1" x14ac:dyDescent="0.2">
      <c r="A35" s="99" t="s">
        <v>21</v>
      </c>
      <c r="B35" s="100" t="s">
        <v>58</v>
      </c>
      <c r="D35" s="83"/>
      <c r="E35" s="83"/>
      <c r="G35" s="83"/>
      <c r="H35" s="83"/>
      <c r="I35" s="83"/>
      <c r="J35" s="83"/>
      <c r="K35" s="83"/>
      <c r="L35" s="83"/>
      <c r="M35" s="83"/>
      <c r="N35" s="83"/>
      <c r="P35" s="83"/>
      <c r="Q35" s="83"/>
      <c r="S35" s="83"/>
    </row>
    <row r="36" spans="1:19" s="82" customFormat="1" ht="9.9" customHeight="1" x14ac:dyDescent="0.2">
      <c r="A36" s="99" t="s">
        <v>59</v>
      </c>
      <c r="B36" s="100" t="s">
        <v>71</v>
      </c>
      <c r="P36" s="83"/>
      <c r="Q36" s="83"/>
      <c r="S36" s="83"/>
    </row>
    <row r="37" spans="1:19" s="82" customFormat="1" ht="9.9" customHeight="1" x14ac:dyDescent="0.2">
      <c r="A37" s="99" t="s">
        <v>61</v>
      </c>
      <c r="B37" s="100" t="s">
        <v>72</v>
      </c>
      <c r="D37" s="83"/>
    </row>
    <row r="38" spans="1:19" s="82" customFormat="1" ht="9.9" customHeight="1" x14ac:dyDescent="0.2">
      <c r="A38" s="101" t="s">
        <v>63</v>
      </c>
      <c r="B38" s="100" t="s">
        <v>73</v>
      </c>
      <c r="S38" s="83"/>
    </row>
    <row r="39" spans="1:19" s="82" customFormat="1" ht="9.9" customHeight="1" x14ac:dyDescent="0.2">
      <c r="A39" s="99"/>
      <c r="B39" s="100" t="s">
        <v>65</v>
      </c>
    </row>
    <row r="40" spans="1:19" s="82" customFormat="1" ht="9.9" customHeight="1" x14ac:dyDescent="0.2">
      <c r="A40" s="99"/>
      <c r="B40" s="100" t="s">
        <v>66</v>
      </c>
    </row>
    <row r="41" spans="1:19" s="82" customFormat="1" ht="9.9" customHeight="1" x14ac:dyDescent="0.2">
      <c r="A41" s="99" t="s">
        <v>30</v>
      </c>
      <c r="B41" s="100" t="s">
        <v>74</v>
      </c>
    </row>
    <row r="42" spans="1:19" s="89" customFormat="1" ht="10.199999999999999" x14ac:dyDescent="0.2">
      <c r="A42" s="102" t="s">
        <v>67</v>
      </c>
    </row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M28" sqref="M28"/>
    </sheetView>
  </sheetViews>
  <sheetFormatPr defaultColWidth="11" defaultRowHeight="7.2" x14ac:dyDescent="0.15"/>
  <cols>
    <col min="1" max="1" width="3" style="70" customWidth="1"/>
    <col min="2" max="2" width="21.6640625" style="1" customWidth="1"/>
    <col min="3" max="14" width="7.5546875" style="1" bestFit="1" customWidth="1"/>
    <col min="15" max="17" width="9.88671875" style="1" customWidth="1"/>
    <col min="18" max="256" width="11" style="1"/>
    <col min="257" max="257" width="3" style="1" customWidth="1"/>
    <col min="258" max="258" width="21.6640625" style="1" customWidth="1"/>
    <col min="259" max="270" width="7.5546875" style="1" bestFit="1" customWidth="1"/>
    <col min="271" max="273" width="9.88671875" style="1" customWidth="1"/>
    <col min="274" max="512" width="11" style="1"/>
    <col min="513" max="513" width="3" style="1" customWidth="1"/>
    <col min="514" max="514" width="21.6640625" style="1" customWidth="1"/>
    <col min="515" max="526" width="7.5546875" style="1" bestFit="1" customWidth="1"/>
    <col min="527" max="529" width="9.88671875" style="1" customWidth="1"/>
    <col min="530" max="768" width="11" style="1"/>
    <col min="769" max="769" width="3" style="1" customWidth="1"/>
    <col min="770" max="770" width="21.6640625" style="1" customWidth="1"/>
    <col min="771" max="782" width="7.5546875" style="1" bestFit="1" customWidth="1"/>
    <col min="783" max="785" width="9.88671875" style="1" customWidth="1"/>
    <col min="786" max="1024" width="11" style="1"/>
    <col min="1025" max="1025" width="3" style="1" customWidth="1"/>
    <col min="1026" max="1026" width="21.6640625" style="1" customWidth="1"/>
    <col min="1027" max="1038" width="7.5546875" style="1" bestFit="1" customWidth="1"/>
    <col min="1039" max="1041" width="9.88671875" style="1" customWidth="1"/>
    <col min="1042" max="1280" width="11" style="1"/>
    <col min="1281" max="1281" width="3" style="1" customWidth="1"/>
    <col min="1282" max="1282" width="21.6640625" style="1" customWidth="1"/>
    <col min="1283" max="1294" width="7.5546875" style="1" bestFit="1" customWidth="1"/>
    <col min="1295" max="1297" width="9.88671875" style="1" customWidth="1"/>
    <col min="1298" max="1536" width="11" style="1"/>
    <col min="1537" max="1537" width="3" style="1" customWidth="1"/>
    <col min="1538" max="1538" width="21.6640625" style="1" customWidth="1"/>
    <col min="1539" max="1550" width="7.5546875" style="1" bestFit="1" customWidth="1"/>
    <col min="1551" max="1553" width="9.88671875" style="1" customWidth="1"/>
    <col min="1554" max="1792" width="11" style="1"/>
    <col min="1793" max="1793" width="3" style="1" customWidth="1"/>
    <col min="1794" max="1794" width="21.6640625" style="1" customWidth="1"/>
    <col min="1795" max="1806" width="7.5546875" style="1" bestFit="1" customWidth="1"/>
    <col min="1807" max="1809" width="9.88671875" style="1" customWidth="1"/>
    <col min="1810" max="2048" width="11" style="1"/>
    <col min="2049" max="2049" width="3" style="1" customWidth="1"/>
    <col min="2050" max="2050" width="21.6640625" style="1" customWidth="1"/>
    <col min="2051" max="2062" width="7.5546875" style="1" bestFit="1" customWidth="1"/>
    <col min="2063" max="2065" width="9.88671875" style="1" customWidth="1"/>
    <col min="2066" max="2304" width="11" style="1"/>
    <col min="2305" max="2305" width="3" style="1" customWidth="1"/>
    <col min="2306" max="2306" width="21.6640625" style="1" customWidth="1"/>
    <col min="2307" max="2318" width="7.5546875" style="1" bestFit="1" customWidth="1"/>
    <col min="2319" max="2321" width="9.88671875" style="1" customWidth="1"/>
    <col min="2322" max="2560" width="11" style="1"/>
    <col min="2561" max="2561" width="3" style="1" customWidth="1"/>
    <col min="2562" max="2562" width="21.6640625" style="1" customWidth="1"/>
    <col min="2563" max="2574" width="7.5546875" style="1" bestFit="1" customWidth="1"/>
    <col min="2575" max="2577" width="9.88671875" style="1" customWidth="1"/>
    <col min="2578" max="2816" width="11" style="1"/>
    <col min="2817" max="2817" width="3" style="1" customWidth="1"/>
    <col min="2818" max="2818" width="21.6640625" style="1" customWidth="1"/>
    <col min="2819" max="2830" width="7.5546875" style="1" bestFit="1" customWidth="1"/>
    <col min="2831" max="2833" width="9.88671875" style="1" customWidth="1"/>
    <col min="2834" max="3072" width="11" style="1"/>
    <col min="3073" max="3073" width="3" style="1" customWidth="1"/>
    <col min="3074" max="3074" width="21.6640625" style="1" customWidth="1"/>
    <col min="3075" max="3086" width="7.5546875" style="1" bestFit="1" customWidth="1"/>
    <col min="3087" max="3089" width="9.88671875" style="1" customWidth="1"/>
    <col min="3090" max="3328" width="11" style="1"/>
    <col min="3329" max="3329" width="3" style="1" customWidth="1"/>
    <col min="3330" max="3330" width="21.6640625" style="1" customWidth="1"/>
    <col min="3331" max="3342" width="7.5546875" style="1" bestFit="1" customWidth="1"/>
    <col min="3343" max="3345" width="9.88671875" style="1" customWidth="1"/>
    <col min="3346" max="3584" width="11" style="1"/>
    <col min="3585" max="3585" width="3" style="1" customWidth="1"/>
    <col min="3586" max="3586" width="21.6640625" style="1" customWidth="1"/>
    <col min="3587" max="3598" width="7.5546875" style="1" bestFit="1" customWidth="1"/>
    <col min="3599" max="3601" width="9.88671875" style="1" customWidth="1"/>
    <col min="3602" max="3840" width="11" style="1"/>
    <col min="3841" max="3841" width="3" style="1" customWidth="1"/>
    <col min="3842" max="3842" width="21.6640625" style="1" customWidth="1"/>
    <col min="3843" max="3854" width="7.5546875" style="1" bestFit="1" customWidth="1"/>
    <col min="3855" max="3857" width="9.88671875" style="1" customWidth="1"/>
    <col min="3858" max="4096" width="11" style="1"/>
    <col min="4097" max="4097" width="3" style="1" customWidth="1"/>
    <col min="4098" max="4098" width="21.6640625" style="1" customWidth="1"/>
    <col min="4099" max="4110" width="7.5546875" style="1" bestFit="1" customWidth="1"/>
    <col min="4111" max="4113" width="9.88671875" style="1" customWidth="1"/>
    <col min="4114" max="4352" width="11" style="1"/>
    <col min="4353" max="4353" width="3" style="1" customWidth="1"/>
    <col min="4354" max="4354" width="21.6640625" style="1" customWidth="1"/>
    <col min="4355" max="4366" width="7.5546875" style="1" bestFit="1" customWidth="1"/>
    <col min="4367" max="4369" width="9.88671875" style="1" customWidth="1"/>
    <col min="4370" max="4608" width="11" style="1"/>
    <col min="4609" max="4609" width="3" style="1" customWidth="1"/>
    <col min="4610" max="4610" width="21.6640625" style="1" customWidth="1"/>
    <col min="4611" max="4622" width="7.5546875" style="1" bestFit="1" customWidth="1"/>
    <col min="4623" max="4625" width="9.88671875" style="1" customWidth="1"/>
    <col min="4626" max="4864" width="11" style="1"/>
    <col min="4865" max="4865" width="3" style="1" customWidth="1"/>
    <col min="4866" max="4866" width="21.6640625" style="1" customWidth="1"/>
    <col min="4867" max="4878" width="7.5546875" style="1" bestFit="1" customWidth="1"/>
    <col min="4879" max="4881" width="9.88671875" style="1" customWidth="1"/>
    <col min="4882" max="5120" width="11" style="1"/>
    <col min="5121" max="5121" width="3" style="1" customWidth="1"/>
    <col min="5122" max="5122" width="21.6640625" style="1" customWidth="1"/>
    <col min="5123" max="5134" width="7.5546875" style="1" bestFit="1" customWidth="1"/>
    <col min="5135" max="5137" width="9.88671875" style="1" customWidth="1"/>
    <col min="5138" max="5376" width="11" style="1"/>
    <col min="5377" max="5377" width="3" style="1" customWidth="1"/>
    <col min="5378" max="5378" width="21.6640625" style="1" customWidth="1"/>
    <col min="5379" max="5390" width="7.5546875" style="1" bestFit="1" customWidth="1"/>
    <col min="5391" max="5393" width="9.88671875" style="1" customWidth="1"/>
    <col min="5394" max="5632" width="11" style="1"/>
    <col min="5633" max="5633" width="3" style="1" customWidth="1"/>
    <col min="5634" max="5634" width="21.6640625" style="1" customWidth="1"/>
    <col min="5635" max="5646" width="7.5546875" style="1" bestFit="1" customWidth="1"/>
    <col min="5647" max="5649" width="9.88671875" style="1" customWidth="1"/>
    <col min="5650" max="5888" width="11" style="1"/>
    <col min="5889" max="5889" width="3" style="1" customWidth="1"/>
    <col min="5890" max="5890" width="21.6640625" style="1" customWidth="1"/>
    <col min="5891" max="5902" width="7.5546875" style="1" bestFit="1" customWidth="1"/>
    <col min="5903" max="5905" width="9.88671875" style="1" customWidth="1"/>
    <col min="5906" max="6144" width="11" style="1"/>
    <col min="6145" max="6145" width="3" style="1" customWidth="1"/>
    <col min="6146" max="6146" width="21.6640625" style="1" customWidth="1"/>
    <col min="6147" max="6158" width="7.5546875" style="1" bestFit="1" customWidth="1"/>
    <col min="6159" max="6161" width="9.88671875" style="1" customWidth="1"/>
    <col min="6162" max="6400" width="11" style="1"/>
    <col min="6401" max="6401" width="3" style="1" customWidth="1"/>
    <col min="6402" max="6402" width="21.6640625" style="1" customWidth="1"/>
    <col min="6403" max="6414" width="7.5546875" style="1" bestFit="1" customWidth="1"/>
    <col min="6415" max="6417" width="9.88671875" style="1" customWidth="1"/>
    <col min="6418" max="6656" width="11" style="1"/>
    <col min="6657" max="6657" width="3" style="1" customWidth="1"/>
    <col min="6658" max="6658" width="21.6640625" style="1" customWidth="1"/>
    <col min="6659" max="6670" width="7.5546875" style="1" bestFit="1" customWidth="1"/>
    <col min="6671" max="6673" width="9.88671875" style="1" customWidth="1"/>
    <col min="6674" max="6912" width="11" style="1"/>
    <col min="6913" max="6913" width="3" style="1" customWidth="1"/>
    <col min="6914" max="6914" width="21.6640625" style="1" customWidth="1"/>
    <col min="6915" max="6926" width="7.5546875" style="1" bestFit="1" customWidth="1"/>
    <col min="6927" max="6929" width="9.88671875" style="1" customWidth="1"/>
    <col min="6930" max="7168" width="11" style="1"/>
    <col min="7169" max="7169" width="3" style="1" customWidth="1"/>
    <col min="7170" max="7170" width="21.6640625" style="1" customWidth="1"/>
    <col min="7171" max="7182" width="7.5546875" style="1" bestFit="1" customWidth="1"/>
    <col min="7183" max="7185" width="9.88671875" style="1" customWidth="1"/>
    <col min="7186" max="7424" width="11" style="1"/>
    <col min="7425" max="7425" width="3" style="1" customWidth="1"/>
    <col min="7426" max="7426" width="21.6640625" style="1" customWidth="1"/>
    <col min="7427" max="7438" width="7.5546875" style="1" bestFit="1" customWidth="1"/>
    <col min="7439" max="7441" width="9.88671875" style="1" customWidth="1"/>
    <col min="7442" max="7680" width="11" style="1"/>
    <col min="7681" max="7681" width="3" style="1" customWidth="1"/>
    <col min="7682" max="7682" width="21.6640625" style="1" customWidth="1"/>
    <col min="7683" max="7694" width="7.5546875" style="1" bestFit="1" customWidth="1"/>
    <col min="7695" max="7697" width="9.88671875" style="1" customWidth="1"/>
    <col min="7698" max="7936" width="11" style="1"/>
    <col min="7937" max="7937" width="3" style="1" customWidth="1"/>
    <col min="7938" max="7938" width="21.6640625" style="1" customWidth="1"/>
    <col min="7939" max="7950" width="7.5546875" style="1" bestFit="1" customWidth="1"/>
    <col min="7951" max="7953" width="9.88671875" style="1" customWidth="1"/>
    <col min="7954" max="8192" width="11" style="1"/>
    <col min="8193" max="8193" width="3" style="1" customWidth="1"/>
    <col min="8194" max="8194" width="21.6640625" style="1" customWidth="1"/>
    <col min="8195" max="8206" width="7.5546875" style="1" bestFit="1" customWidth="1"/>
    <col min="8207" max="8209" width="9.88671875" style="1" customWidth="1"/>
    <col min="8210" max="8448" width="11" style="1"/>
    <col min="8449" max="8449" width="3" style="1" customWidth="1"/>
    <col min="8450" max="8450" width="21.6640625" style="1" customWidth="1"/>
    <col min="8451" max="8462" width="7.5546875" style="1" bestFit="1" customWidth="1"/>
    <col min="8463" max="8465" width="9.88671875" style="1" customWidth="1"/>
    <col min="8466" max="8704" width="11" style="1"/>
    <col min="8705" max="8705" width="3" style="1" customWidth="1"/>
    <col min="8706" max="8706" width="21.6640625" style="1" customWidth="1"/>
    <col min="8707" max="8718" width="7.5546875" style="1" bestFit="1" customWidth="1"/>
    <col min="8719" max="8721" width="9.88671875" style="1" customWidth="1"/>
    <col min="8722" max="8960" width="11" style="1"/>
    <col min="8961" max="8961" width="3" style="1" customWidth="1"/>
    <col min="8962" max="8962" width="21.6640625" style="1" customWidth="1"/>
    <col min="8963" max="8974" width="7.5546875" style="1" bestFit="1" customWidth="1"/>
    <col min="8975" max="8977" width="9.88671875" style="1" customWidth="1"/>
    <col min="8978" max="9216" width="11" style="1"/>
    <col min="9217" max="9217" width="3" style="1" customWidth="1"/>
    <col min="9218" max="9218" width="21.6640625" style="1" customWidth="1"/>
    <col min="9219" max="9230" width="7.5546875" style="1" bestFit="1" customWidth="1"/>
    <col min="9231" max="9233" width="9.88671875" style="1" customWidth="1"/>
    <col min="9234" max="9472" width="11" style="1"/>
    <col min="9473" max="9473" width="3" style="1" customWidth="1"/>
    <col min="9474" max="9474" width="21.6640625" style="1" customWidth="1"/>
    <col min="9475" max="9486" width="7.5546875" style="1" bestFit="1" customWidth="1"/>
    <col min="9487" max="9489" width="9.88671875" style="1" customWidth="1"/>
    <col min="9490" max="9728" width="11" style="1"/>
    <col min="9729" max="9729" width="3" style="1" customWidth="1"/>
    <col min="9730" max="9730" width="21.6640625" style="1" customWidth="1"/>
    <col min="9731" max="9742" width="7.5546875" style="1" bestFit="1" customWidth="1"/>
    <col min="9743" max="9745" width="9.88671875" style="1" customWidth="1"/>
    <col min="9746" max="9984" width="11" style="1"/>
    <col min="9985" max="9985" width="3" style="1" customWidth="1"/>
    <col min="9986" max="9986" width="21.6640625" style="1" customWidth="1"/>
    <col min="9987" max="9998" width="7.5546875" style="1" bestFit="1" customWidth="1"/>
    <col min="9999" max="10001" width="9.88671875" style="1" customWidth="1"/>
    <col min="10002" max="10240" width="11" style="1"/>
    <col min="10241" max="10241" width="3" style="1" customWidth="1"/>
    <col min="10242" max="10242" width="21.6640625" style="1" customWidth="1"/>
    <col min="10243" max="10254" width="7.5546875" style="1" bestFit="1" customWidth="1"/>
    <col min="10255" max="10257" width="9.88671875" style="1" customWidth="1"/>
    <col min="10258" max="10496" width="11" style="1"/>
    <col min="10497" max="10497" width="3" style="1" customWidth="1"/>
    <col min="10498" max="10498" width="21.6640625" style="1" customWidth="1"/>
    <col min="10499" max="10510" width="7.5546875" style="1" bestFit="1" customWidth="1"/>
    <col min="10511" max="10513" width="9.88671875" style="1" customWidth="1"/>
    <col min="10514" max="10752" width="11" style="1"/>
    <col min="10753" max="10753" width="3" style="1" customWidth="1"/>
    <col min="10754" max="10754" width="21.6640625" style="1" customWidth="1"/>
    <col min="10755" max="10766" width="7.5546875" style="1" bestFit="1" customWidth="1"/>
    <col min="10767" max="10769" width="9.88671875" style="1" customWidth="1"/>
    <col min="10770" max="11008" width="11" style="1"/>
    <col min="11009" max="11009" width="3" style="1" customWidth="1"/>
    <col min="11010" max="11010" width="21.6640625" style="1" customWidth="1"/>
    <col min="11011" max="11022" width="7.5546875" style="1" bestFit="1" customWidth="1"/>
    <col min="11023" max="11025" width="9.88671875" style="1" customWidth="1"/>
    <col min="11026" max="11264" width="11" style="1"/>
    <col min="11265" max="11265" width="3" style="1" customWidth="1"/>
    <col min="11266" max="11266" width="21.6640625" style="1" customWidth="1"/>
    <col min="11267" max="11278" width="7.5546875" style="1" bestFit="1" customWidth="1"/>
    <col min="11279" max="11281" width="9.88671875" style="1" customWidth="1"/>
    <col min="11282" max="11520" width="11" style="1"/>
    <col min="11521" max="11521" width="3" style="1" customWidth="1"/>
    <col min="11522" max="11522" width="21.6640625" style="1" customWidth="1"/>
    <col min="11523" max="11534" width="7.5546875" style="1" bestFit="1" customWidth="1"/>
    <col min="11535" max="11537" width="9.88671875" style="1" customWidth="1"/>
    <col min="11538" max="11776" width="11" style="1"/>
    <col min="11777" max="11777" width="3" style="1" customWidth="1"/>
    <col min="11778" max="11778" width="21.6640625" style="1" customWidth="1"/>
    <col min="11779" max="11790" width="7.5546875" style="1" bestFit="1" customWidth="1"/>
    <col min="11791" max="11793" width="9.88671875" style="1" customWidth="1"/>
    <col min="11794" max="12032" width="11" style="1"/>
    <col min="12033" max="12033" width="3" style="1" customWidth="1"/>
    <col min="12034" max="12034" width="21.6640625" style="1" customWidth="1"/>
    <col min="12035" max="12046" width="7.5546875" style="1" bestFit="1" customWidth="1"/>
    <col min="12047" max="12049" width="9.88671875" style="1" customWidth="1"/>
    <col min="12050" max="12288" width="11" style="1"/>
    <col min="12289" max="12289" width="3" style="1" customWidth="1"/>
    <col min="12290" max="12290" width="21.6640625" style="1" customWidth="1"/>
    <col min="12291" max="12302" width="7.5546875" style="1" bestFit="1" customWidth="1"/>
    <col min="12303" max="12305" width="9.88671875" style="1" customWidth="1"/>
    <col min="12306" max="12544" width="11" style="1"/>
    <col min="12545" max="12545" width="3" style="1" customWidth="1"/>
    <col min="12546" max="12546" width="21.6640625" style="1" customWidth="1"/>
    <col min="12547" max="12558" width="7.5546875" style="1" bestFit="1" customWidth="1"/>
    <col min="12559" max="12561" width="9.88671875" style="1" customWidth="1"/>
    <col min="12562" max="12800" width="11" style="1"/>
    <col min="12801" max="12801" width="3" style="1" customWidth="1"/>
    <col min="12802" max="12802" width="21.6640625" style="1" customWidth="1"/>
    <col min="12803" max="12814" width="7.5546875" style="1" bestFit="1" customWidth="1"/>
    <col min="12815" max="12817" width="9.88671875" style="1" customWidth="1"/>
    <col min="12818" max="13056" width="11" style="1"/>
    <col min="13057" max="13057" width="3" style="1" customWidth="1"/>
    <col min="13058" max="13058" width="21.6640625" style="1" customWidth="1"/>
    <col min="13059" max="13070" width="7.5546875" style="1" bestFit="1" customWidth="1"/>
    <col min="13071" max="13073" width="9.88671875" style="1" customWidth="1"/>
    <col min="13074" max="13312" width="11" style="1"/>
    <col min="13313" max="13313" width="3" style="1" customWidth="1"/>
    <col min="13314" max="13314" width="21.6640625" style="1" customWidth="1"/>
    <col min="13315" max="13326" width="7.5546875" style="1" bestFit="1" customWidth="1"/>
    <col min="13327" max="13329" width="9.88671875" style="1" customWidth="1"/>
    <col min="13330" max="13568" width="11" style="1"/>
    <col min="13569" max="13569" width="3" style="1" customWidth="1"/>
    <col min="13570" max="13570" width="21.6640625" style="1" customWidth="1"/>
    <col min="13571" max="13582" width="7.5546875" style="1" bestFit="1" customWidth="1"/>
    <col min="13583" max="13585" width="9.88671875" style="1" customWidth="1"/>
    <col min="13586" max="13824" width="11" style="1"/>
    <col min="13825" max="13825" width="3" style="1" customWidth="1"/>
    <col min="13826" max="13826" width="21.6640625" style="1" customWidth="1"/>
    <col min="13827" max="13838" width="7.5546875" style="1" bestFit="1" customWidth="1"/>
    <col min="13839" max="13841" width="9.88671875" style="1" customWidth="1"/>
    <col min="13842" max="14080" width="11" style="1"/>
    <col min="14081" max="14081" width="3" style="1" customWidth="1"/>
    <col min="14082" max="14082" width="21.6640625" style="1" customWidth="1"/>
    <col min="14083" max="14094" width="7.5546875" style="1" bestFit="1" customWidth="1"/>
    <col min="14095" max="14097" width="9.88671875" style="1" customWidth="1"/>
    <col min="14098" max="14336" width="11" style="1"/>
    <col min="14337" max="14337" width="3" style="1" customWidth="1"/>
    <col min="14338" max="14338" width="21.6640625" style="1" customWidth="1"/>
    <col min="14339" max="14350" width="7.5546875" style="1" bestFit="1" customWidth="1"/>
    <col min="14351" max="14353" width="9.88671875" style="1" customWidth="1"/>
    <col min="14354" max="14592" width="11" style="1"/>
    <col min="14593" max="14593" width="3" style="1" customWidth="1"/>
    <col min="14594" max="14594" width="21.6640625" style="1" customWidth="1"/>
    <col min="14595" max="14606" width="7.5546875" style="1" bestFit="1" customWidth="1"/>
    <col min="14607" max="14609" width="9.88671875" style="1" customWidth="1"/>
    <col min="14610" max="14848" width="11" style="1"/>
    <col min="14849" max="14849" width="3" style="1" customWidth="1"/>
    <col min="14850" max="14850" width="21.6640625" style="1" customWidth="1"/>
    <col min="14851" max="14862" width="7.5546875" style="1" bestFit="1" customWidth="1"/>
    <col min="14863" max="14865" width="9.88671875" style="1" customWidth="1"/>
    <col min="14866" max="15104" width="11" style="1"/>
    <col min="15105" max="15105" width="3" style="1" customWidth="1"/>
    <col min="15106" max="15106" width="21.6640625" style="1" customWidth="1"/>
    <col min="15107" max="15118" width="7.5546875" style="1" bestFit="1" customWidth="1"/>
    <col min="15119" max="15121" width="9.88671875" style="1" customWidth="1"/>
    <col min="15122" max="15360" width="11" style="1"/>
    <col min="15361" max="15361" width="3" style="1" customWidth="1"/>
    <col min="15362" max="15362" width="21.6640625" style="1" customWidth="1"/>
    <col min="15363" max="15374" width="7.5546875" style="1" bestFit="1" customWidth="1"/>
    <col min="15375" max="15377" width="9.88671875" style="1" customWidth="1"/>
    <col min="15378" max="15616" width="11" style="1"/>
    <col min="15617" max="15617" width="3" style="1" customWidth="1"/>
    <col min="15618" max="15618" width="21.6640625" style="1" customWidth="1"/>
    <col min="15619" max="15630" width="7.5546875" style="1" bestFit="1" customWidth="1"/>
    <col min="15631" max="15633" width="9.88671875" style="1" customWidth="1"/>
    <col min="15634" max="15872" width="11" style="1"/>
    <col min="15873" max="15873" width="3" style="1" customWidth="1"/>
    <col min="15874" max="15874" width="21.6640625" style="1" customWidth="1"/>
    <col min="15875" max="15886" width="7.5546875" style="1" bestFit="1" customWidth="1"/>
    <col min="15887" max="15889" width="9.88671875" style="1" customWidth="1"/>
    <col min="15890" max="16128" width="11" style="1"/>
    <col min="16129" max="16129" width="3" style="1" customWidth="1"/>
    <col min="16130" max="16130" width="21.6640625" style="1" customWidth="1"/>
    <col min="16131" max="16142" width="7.5546875" style="1" bestFit="1" customWidth="1"/>
    <col min="16143" max="16145" width="9.88671875" style="1" customWidth="1"/>
    <col min="16146" max="16384" width="11" style="1"/>
  </cols>
  <sheetData>
    <row r="1" spans="1:19" s="103" customFormat="1" ht="15.6" x14ac:dyDescent="0.3">
      <c r="A1" s="405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7"/>
    </row>
    <row r="2" spans="1:19" x14ac:dyDescent="0.15">
      <c r="A2" s="408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10"/>
    </row>
    <row r="3" spans="1:19" ht="12.75" customHeight="1" thickBot="1" x14ac:dyDescent="0.3">
      <c r="A3" s="411" t="s">
        <v>1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3"/>
    </row>
    <row r="4" spans="1:19" s="71" customFormat="1" ht="9.9" customHeight="1" thickTop="1" x14ac:dyDescent="0.2">
      <c r="A4" s="430" t="s">
        <v>2</v>
      </c>
      <c r="B4" s="432" t="s">
        <v>3</v>
      </c>
      <c r="C4" s="436" t="s">
        <v>75</v>
      </c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7"/>
    </row>
    <row r="5" spans="1:19" s="71" customFormat="1" ht="9.9" customHeight="1" x14ac:dyDescent="0.2">
      <c r="A5" s="431"/>
      <c r="B5" s="433"/>
      <c r="C5" s="104" t="s">
        <v>5</v>
      </c>
      <c r="D5" s="104" t="s">
        <v>6</v>
      </c>
      <c r="E5" s="104" t="s">
        <v>7</v>
      </c>
      <c r="F5" s="104" t="s">
        <v>8</v>
      </c>
      <c r="G5" s="104" t="s">
        <v>9</v>
      </c>
      <c r="H5" s="104" t="s">
        <v>10</v>
      </c>
      <c r="I5" s="104" t="s">
        <v>11</v>
      </c>
      <c r="J5" s="104" t="s">
        <v>12</v>
      </c>
      <c r="K5" s="104" t="s">
        <v>13</v>
      </c>
      <c r="L5" s="104" t="s">
        <v>14</v>
      </c>
      <c r="M5" s="104" t="s">
        <v>15</v>
      </c>
      <c r="N5" s="105" t="s">
        <v>16</v>
      </c>
    </row>
    <row r="6" spans="1:19" s="71" customFormat="1" ht="9.6" customHeight="1" x14ac:dyDescent="0.2">
      <c r="A6" s="74">
        <v>1</v>
      </c>
      <c r="B6" s="75" t="s">
        <v>17</v>
      </c>
      <c r="C6" s="76">
        <f t="shared" ref="C6:N6" si="0">C7+C10</f>
        <v>21026.9</v>
      </c>
      <c r="D6" s="76">
        <f t="shared" si="0"/>
        <v>21026.9</v>
      </c>
      <c r="E6" s="76">
        <f t="shared" si="0"/>
        <v>24812.100000000002</v>
      </c>
      <c r="F6" s="76">
        <f t="shared" si="0"/>
        <v>24812.100000000002</v>
      </c>
      <c r="G6" s="76">
        <f t="shared" si="0"/>
        <v>25412.1</v>
      </c>
      <c r="H6" s="76">
        <f t="shared" si="0"/>
        <v>25412.100000000002</v>
      </c>
      <c r="I6" s="76">
        <f t="shared" si="0"/>
        <v>25412</v>
      </c>
      <c r="J6" s="76">
        <f t="shared" si="0"/>
        <v>26312.1</v>
      </c>
      <c r="K6" s="76">
        <f t="shared" si="0"/>
        <v>26312.1</v>
      </c>
      <c r="L6" s="76">
        <f t="shared" si="0"/>
        <v>26910.899999999998</v>
      </c>
      <c r="M6" s="76">
        <f t="shared" si="0"/>
        <v>26910.799999999999</v>
      </c>
      <c r="N6" s="77">
        <f t="shared" si="0"/>
        <v>27610.799999999999</v>
      </c>
    </row>
    <row r="7" spans="1:19" s="82" customFormat="1" ht="9.6" customHeight="1" x14ac:dyDescent="0.2">
      <c r="A7" s="78"/>
      <c r="B7" s="79" t="s">
        <v>18</v>
      </c>
      <c r="C7" s="80">
        <f t="shared" ref="C7:N7" si="1">C8+C9</f>
        <v>18069.900000000001</v>
      </c>
      <c r="D7" s="80">
        <f t="shared" si="1"/>
        <v>18443.600000000002</v>
      </c>
      <c r="E7" s="80">
        <f t="shared" si="1"/>
        <v>22101.4</v>
      </c>
      <c r="F7" s="80">
        <f t="shared" si="1"/>
        <v>22205.4</v>
      </c>
      <c r="G7" s="80">
        <f t="shared" si="1"/>
        <v>22929</v>
      </c>
      <c r="H7" s="80">
        <f t="shared" si="1"/>
        <v>22923.200000000001</v>
      </c>
      <c r="I7" s="80">
        <f t="shared" si="1"/>
        <v>22834.6</v>
      </c>
      <c r="J7" s="80">
        <f t="shared" si="1"/>
        <v>24095.8</v>
      </c>
      <c r="K7" s="80">
        <f t="shared" si="1"/>
        <v>23968.3</v>
      </c>
      <c r="L7" s="80">
        <f t="shared" si="1"/>
        <v>24772.1</v>
      </c>
      <c r="M7" s="80">
        <f t="shared" si="1"/>
        <v>25060.799999999999</v>
      </c>
      <c r="N7" s="81">
        <f t="shared" si="1"/>
        <v>25317.5</v>
      </c>
      <c r="S7" s="83"/>
    </row>
    <row r="8" spans="1:19" s="89" customFormat="1" ht="9.6" customHeight="1" x14ac:dyDescent="0.2">
      <c r="A8" s="84"/>
      <c r="B8" s="85" t="s">
        <v>19</v>
      </c>
      <c r="C8" s="86">
        <v>1521.4</v>
      </c>
      <c r="D8" s="86">
        <v>3786.4</v>
      </c>
      <c r="E8" s="86">
        <v>8745.9</v>
      </c>
      <c r="F8" s="86">
        <v>10249.299999999999</v>
      </c>
      <c r="G8" s="86">
        <v>9910.9</v>
      </c>
      <c r="H8" s="86">
        <v>9310.1</v>
      </c>
      <c r="I8" s="86">
        <v>5346.5</v>
      </c>
      <c r="J8" s="86">
        <v>6419.5</v>
      </c>
      <c r="K8" s="86">
        <v>7409.5</v>
      </c>
      <c r="L8" s="86">
        <v>6048.3</v>
      </c>
      <c r="M8" s="86">
        <v>5595.5</v>
      </c>
      <c r="N8" s="106">
        <v>3050.5</v>
      </c>
      <c r="S8" s="90"/>
    </row>
    <row r="9" spans="1:19" s="89" customFormat="1" ht="9.6" customHeight="1" x14ac:dyDescent="0.2">
      <c r="A9" s="84"/>
      <c r="B9" s="85" t="s">
        <v>23</v>
      </c>
      <c r="C9" s="86">
        <v>16548.5</v>
      </c>
      <c r="D9" s="86">
        <v>14657.2</v>
      </c>
      <c r="E9" s="86">
        <v>13355.5</v>
      </c>
      <c r="F9" s="86">
        <v>11956.1</v>
      </c>
      <c r="G9" s="86">
        <v>13018.1</v>
      </c>
      <c r="H9" s="86">
        <v>13613.1</v>
      </c>
      <c r="I9" s="86">
        <v>17488.099999999999</v>
      </c>
      <c r="J9" s="86">
        <v>17676.3</v>
      </c>
      <c r="K9" s="86">
        <v>16558.8</v>
      </c>
      <c r="L9" s="86">
        <v>18723.8</v>
      </c>
      <c r="M9" s="86">
        <v>19465.3</v>
      </c>
      <c r="N9" s="106">
        <v>22267</v>
      </c>
    </row>
    <row r="10" spans="1:19" s="82" customFormat="1" ht="9.6" customHeight="1" x14ac:dyDescent="0.2">
      <c r="A10" s="78"/>
      <c r="B10" s="79" t="s">
        <v>24</v>
      </c>
      <c r="C10" s="107">
        <v>2957</v>
      </c>
      <c r="D10" s="107">
        <v>2583.3000000000002</v>
      </c>
      <c r="E10" s="107">
        <v>2710.7</v>
      </c>
      <c r="F10" s="107">
        <v>2606.6999999999998</v>
      </c>
      <c r="G10" s="107">
        <v>2483.1</v>
      </c>
      <c r="H10" s="107">
        <v>2488.9</v>
      </c>
      <c r="I10" s="107">
        <v>2577.4</v>
      </c>
      <c r="J10" s="107">
        <v>2216.3000000000002</v>
      </c>
      <c r="K10" s="107">
        <v>2343.8000000000002</v>
      </c>
      <c r="L10" s="107">
        <v>2138.8000000000002</v>
      </c>
      <c r="M10" s="107">
        <v>1850</v>
      </c>
      <c r="N10" s="108">
        <v>2293.3000000000002</v>
      </c>
      <c r="S10" s="83"/>
    </row>
    <row r="11" spans="1:19" s="89" customFormat="1" ht="9.6" customHeight="1" x14ac:dyDescent="0.2">
      <c r="A11" s="84"/>
      <c r="B11" s="85" t="s">
        <v>25</v>
      </c>
      <c r="C11" s="87">
        <v>2352.5</v>
      </c>
      <c r="D11" s="87">
        <v>2038.8</v>
      </c>
      <c r="E11" s="87">
        <v>2280.1999999999998</v>
      </c>
      <c r="F11" s="87">
        <v>2486.1999999999998</v>
      </c>
      <c r="G11" s="87">
        <v>2365.1</v>
      </c>
      <c r="H11" s="87">
        <v>2258.4</v>
      </c>
      <c r="I11" s="87">
        <v>2147.4</v>
      </c>
      <c r="J11" s="87">
        <v>1478.8</v>
      </c>
      <c r="K11" s="87">
        <v>1723.8</v>
      </c>
      <c r="L11" s="87">
        <v>1713.8</v>
      </c>
      <c r="M11" s="87">
        <v>1635</v>
      </c>
      <c r="N11" s="88">
        <v>1968.3</v>
      </c>
      <c r="S11" s="90"/>
    </row>
    <row r="12" spans="1:19" s="71" customFormat="1" ht="9.6" customHeight="1" x14ac:dyDescent="0.2">
      <c r="A12" s="74">
        <v>2</v>
      </c>
      <c r="B12" s="75" t="s">
        <v>26</v>
      </c>
      <c r="C12" s="76">
        <f t="shared" ref="C12:N12" si="2">C13+C16</f>
        <v>4262.2</v>
      </c>
      <c r="D12" s="76">
        <f t="shared" si="2"/>
        <v>4262.2</v>
      </c>
      <c r="E12" s="76">
        <f t="shared" si="2"/>
        <v>4262.2</v>
      </c>
      <c r="F12" s="76">
        <f t="shared" si="2"/>
        <v>4262.2</v>
      </c>
      <c r="G12" s="76">
        <f t="shared" si="2"/>
        <v>4262.2000000000007</v>
      </c>
      <c r="H12" s="76">
        <f t="shared" si="2"/>
        <v>4262.2000000000007</v>
      </c>
      <c r="I12" s="76">
        <f t="shared" si="2"/>
        <v>4262.2</v>
      </c>
      <c r="J12" s="76">
        <f t="shared" si="2"/>
        <v>5262.2</v>
      </c>
      <c r="K12" s="76">
        <f t="shared" si="2"/>
        <v>5262.2999999999993</v>
      </c>
      <c r="L12" s="76">
        <f t="shared" si="2"/>
        <v>5262.2000000000007</v>
      </c>
      <c r="M12" s="76">
        <f t="shared" si="2"/>
        <v>5962.2000000000007</v>
      </c>
      <c r="N12" s="77">
        <f t="shared" si="2"/>
        <v>5962.2000000000007</v>
      </c>
      <c r="S12" s="91"/>
    </row>
    <row r="13" spans="1:19" s="82" customFormat="1" ht="9.6" customHeight="1" x14ac:dyDescent="0.2">
      <c r="A13" s="78"/>
      <c r="B13" s="79" t="s">
        <v>18</v>
      </c>
      <c r="C13" s="80">
        <f t="shared" ref="C13:N13" si="3">C14+C15</f>
        <v>3072.1</v>
      </c>
      <c r="D13" s="80">
        <f t="shared" si="3"/>
        <v>3072.1</v>
      </c>
      <c r="E13" s="80">
        <f t="shared" si="3"/>
        <v>3072.1</v>
      </c>
      <c r="F13" s="80">
        <f t="shared" si="3"/>
        <v>3067.7</v>
      </c>
      <c r="G13" s="80">
        <f t="shared" si="3"/>
        <v>3067.8</v>
      </c>
      <c r="H13" s="80">
        <f t="shared" si="3"/>
        <v>3067.8</v>
      </c>
      <c r="I13" s="80">
        <f t="shared" si="3"/>
        <v>3068.5</v>
      </c>
      <c r="J13" s="80">
        <f t="shared" si="3"/>
        <v>3802.1</v>
      </c>
      <c r="K13" s="80">
        <f t="shared" si="3"/>
        <v>3832.2</v>
      </c>
      <c r="L13" s="80">
        <f t="shared" si="3"/>
        <v>3832.1000000000004</v>
      </c>
      <c r="M13" s="80">
        <f t="shared" si="3"/>
        <v>4354.6000000000004</v>
      </c>
      <c r="N13" s="81">
        <f t="shared" si="3"/>
        <v>4456.6000000000004</v>
      </c>
      <c r="P13" s="83"/>
      <c r="Q13" s="83"/>
      <c r="S13" s="83"/>
    </row>
    <row r="14" spans="1:19" s="89" customFormat="1" ht="9.6" customHeight="1" x14ac:dyDescent="0.2">
      <c r="A14" s="84"/>
      <c r="B14" s="85" t="s">
        <v>53</v>
      </c>
      <c r="C14" s="86">
        <v>1523</v>
      </c>
      <c r="D14" s="86">
        <v>1523</v>
      </c>
      <c r="E14" s="86">
        <v>1523</v>
      </c>
      <c r="F14" s="86">
        <v>1518.6</v>
      </c>
      <c r="G14" s="86">
        <v>1518.7</v>
      </c>
      <c r="H14" s="86">
        <v>1518.7</v>
      </c>
      <c r="I14" s="86">
        <v>1519.4</v>
      </c>
      <c r="J14" s="86">
        <v>1518.6</v>
      </c>
      <c r="K14" s="86">
        <v>1518.7</v>
      </c>
      <c r="L14" s="86">
        <v>1762.2</v>
      </c>
      <c r="M14" s="86">
        <v>1762.2</v>
      </c>
      <c r="N14" s="106">
        <v>2272.1999999999998</v>
      </c>
      <c r="P14" s="90"/>
      <c r="Q14" s="90"/>
      <c r="S14" s="90"/>
    </row>
    <row r="15" spans="1:19" s="89" customFormat="1" ht="9.6" customHeight="1" x14ac:dyDescent="0.2">
      <c r="A15" s="84"/>
      <c r="B15" s="85" t="s">
        <v>23</v>
      </c>
      <c r="C15" s="86">
        <v>1549.1</v>
      </c>
      <c r="D15" s="86">
        <v>1549.1</v>
      </c>
      <c r="E15" s="86">
        <v>1549.1</v>
      </c>
      <c r="F15" s="86">
        <v>1549.1</v>
      </c>
      <c r="G15" s="86">
        <v>1549.1</v>
      </c>
      <c r="H15" s="86">
        <v>1549.1</v>
      </c>
      <c r="I15" s="86">
        <v>1549.1</v>
      </c>
      <c r="J15" s="86">
        <v>2283.5</v>
      </c>
      <c r="K15" s="86">
        <v>2313.5</v>
      </c>
      <c r="L15" s="86">
        <v>2069.9</v>
      </c>
      <c r="M15" s="86">
        <v>2592.4</v>
      </c>
      <c r="N15" s="106">
        <v>2184.4</v>
      </c>
      <c r="S15" s="90"/>
    </row>
    <row r="16" spans="1:19" s="82" customFormat="1" ht="9.6" customHeight="1" x14ac:dyDescent="0.2">
      <c r="A16" s="78"/>
      <c r="B16" s="79" t="s">
        <v>54</v>
      </c>
      <c r="C16" s="107">
        <v>1190.0999999999999</v>
      </c>
      <c r="D16" s="107">
        <v>1190.0999999999999</v>
      </c>
      <c r="E16" s="107">
        <v>1190.0999999999999</v>
      </c>
      <c r="F16" s="107">
        <v>1194.5</v>
      </c>
      <c r="G16" s="107">
        <v>1194.4000000000001</v>
      </c>
      <c r="H16" s="107">
        <v>1194.4000000000001</v>
      </c>
      <c r="I16" s="107">
        <v>1193.7</v>
      </c>
      <c r="J16" s="107">
        <v>1460.1</v>
      </c>
      <c r="K16" s="107">
        <v>1430.1</v>
      </c>
      <c r="L16" s="107">
        <v>1430.1</v>
      </c>
      <c r="M16" s="107">
        <v>1607.6</v>
      </c>
      <c r="N16" s="108">
        <v>1505.6</v>
      </c>
      <c r="P16" s="83"/>
      <c r="Q16" s="83"/>
      <c r="S16" s="83"/>
    </row>
    <row r="17" spans="1:19" s="71" customFormat="1" ht="9.6" customHeight="1" x14ac:dyDescent="0.2">
      <c r="A17" s="74">
        <v>3</v>
      </c>
      <c r="B17" s="75" t="s">
        <v>29</v>
      </c>
      <c r="C17" s="76">
        <f t="shared" ref="C17:N17" si="4">C18+C21</f>
        <v>11526.4</v>
      </c>
      <c r="D17" s="76">
        <f t="shared" si="4"/>
        <v>11526.400000000001</v>
      </c>
      <c r="E17" s="76">
        <f t="shared" si="4"/>
        <v>11526.4</v>
      </c>
      <c r="F17" s="76">
        <f t="shared" si="4"/>
        <v>11526.4</v>
      </c>
      <c r="G17" s="76">
        <f t="shared" si="4"/>
        <v>11526.4</v>
      </c>
      <c r="H17" s="76">
        <f t="shared" si="4"/>
        <v>12526.4</v>
      </c>
      <c r="I17" s="76">
        <f t="shared" si="4"/>
        <v>12176.4</v>
      </c>
      <c r="J17" s="76">
        <f t="shared" si="4"/>
        <v>12076.4</v>
      </c>
      <c r="K17" s="76">
        <f t="shared" si="4"/>
        <v>12976.4</v>
      </c>
      <c r="L17" s="76">
        <f t="shared" si="4"/>
        <v>12976.4</v>
      </c>
      <c r="M17" s="76">
        <f t="shared" si="4"/>
        <v>12976.4</v>
      </c>
      <c r="N17" s="77">
        <f t="shared" si="4"/>
        <v>12476.4</v>
      </c>
      <c r="P17" s="91"/>
      <c r="Q17" s="91"/>
      <c r="S17" s="91"/>
    </row>
    <row r="18" spans="1:19" s="82" customFormat="1" ht="9.6" customHeight="1" x14ac:dyDescent="0.2">
      <c r="A18" s="78"/>
      <c r="B18" s="79" t="s">
        <v>18</v>
      </c>
      <c r="C18" s="80">
        <f t="shared" ref="C18:N18" si="5">C19+C20</f>
        <v>448.5</v>
      </c>
      <c r="D18" s="80">
        <f t="shared" si="5"/>
        <v>399.7</v>
      </c>
      <c r="E18" s="80">
        <f t="shared" si="5"/>
        <v>352.1</v>
      </c>
      <c r="F18" s="80">
        <f t="shared" si="5"/>
        <v>252.6</v>
      </c>
      <c r="G18" s="80">
        <f t="shared" si="5"/>
        <v>212.3</v>
      </c>
      <c r="H18" s="80">
        <f t="shared" si="5"/>
        <v>231.6</v>
      </c>
      <c r="I18" s="80">
        <f t="shared" si="5"/>
        <v>154.5</v>
      </c>
      <c r="J18" s="80">
        <f t="shared" si="5"/>
        <v>155</v>
      </c>
      <c r="K18" s="80">
        <f t="shared" si="5"/>
        <v>279.39999999999998</v>
      </c>
      <c r="L18" s="80">
        <f t="shared" si="5"/>
        <v>198.5</v>
      </c>
      <c r="M18" s="80">
        <f t="shared" si="5"/>
        <v>200</v>
      </c>
      <c r="N18" s="81">
        <f t="shared" si="5"/>
        <v>154.5</v>
      </c>
      <c r="S18" s="83"/>
    </row>
    <row r="19" spans="1:19" s="89" customFormat="1" ht="9.6" customHeight="1" x14ac:dyDescent="0.2">
      <c r="A19" s="84"/>
      <c r="B19" s="85" t="s">
        <v>19</v>
      </c>
      <c r="C19" s="86">
        <v>294</v>
      </c>
      <c r="D19" s="86">
        <v>245.2</v>
      </c>
      <c r="E19" s="86">
        <v>197.6</v>
      </c>
      <c r="F19" s="86">
        <v>98.1</v>
      </c>
      <c r="G19" s="86">
        <v>57.8</v>
      </c>
      <c r="H19" s="86">
        <v>77.099999999999994</v>
      </c>
      <c r="I19" s="86">
        <v>0</v>
      </c>
      <c r="J19" s="86">
        <v>0.5</v>
      </c>
      <c r="K19" s="86">
        <v>124.9</v>
      </c>
      <c r="L19" s="86">
        <v>44</v>
      </c>
      <c r="M19" s="86">
        <v>45.5</v>
      </c>
      <c r="N19" s="106">
        <v>0</v>
      </c>
      <c r="S19" s="90"/>
    </row>
    <row r="20" spans="1:19" s="89" customFormat="1" ht="9.6" customHeight="1" x14ac:dyDescent="0.2">
      <c r="A20" s="84"/>
      <c r="B20" s="85" t="s">
        <v>23</v>
      </c>
      <c r="C20" s="86">
        <v>154.5</v>
      </c>
      <c r="D20" s="86">
        <v>154.5</v>
      </c>
      <c r="E20" s="86">
        <v>154.5</v>
      </c>
      <c r="F20" s="86">
        <v>154.5</v>
      </c>
      <c r="G20" s="86">
        <v>154.5</v>
      </c>
      <c r="H20" s="86">
        <v>154.5</v>
      </c>
      <c r="I20" s="86">
        <v>154.5</v>
      </c>
      <c r="J20" s="86">
        <v>154.5</v>
      </c>
      <c r="K20" s="86">
        <v>154.5</v>
      </c>
      <c r="L20" s="86">
        <v>154.5</v>
      </c>
      <c r="M20" s="86">
        <v>154.5</v>
      </c>
      <c r="N20" s="106">
        <v>154.5</v>
      </c>
      <c r="P20" s="90"/>
      <c r="Q20" s="90"/>
      <c r="S20" s="90"/>
    </row>
    <row r="21" spans="1:19" s="82" customFormat="1" ht="9.6" customHeight="1" x14ac:dyDescent="0.2">
      <c r="A21" s="78"/>
      <c r="B21" s="79" t="s">
        <v>55</v>
      </c>
      <c r="C21" s="107">
        <v>11077.9</v>
      </c>
      <c r="D21" s="107">
        <v>11126.7</v>
      </c>
      <c r="E21" s="107">
        <v>11174.3</v>
      </c>
      <c r="F21" s="107">
        <v>11273.8</v>
      </c>
      <c r="G21" s="107">
        <v>11314.1</v>
      </c>
      <c r="H21" s="107">
        <v>12294.8</v>
      </c>
      <c r="I21" s="107">
        <v>12021.9</v>
      </c>
      <c r="J21" s="107">
        <v>11921.4</v>
      </c>
      <c r="K21" s="107">
        <v>12697</v>
      </c>
      <c r="L21" s="107">
        <v>12777.9</v>
      </c>
      <c r="M21" s="107">
        <v>12776.4</v>
      </c>
      <c r="N21" s="108">
        <v>12321.9</v>
      </c>
      <c r="P21" s="83"/>
      <c r="Q21" s="83"/>
      <c r="S21" s="83"/>
    </row>
    <row r="22" spans="1:19" s="71" customFormat="1" ht="9.6" customHeight="1" x14ac:dyDescent="0.2">
      <c r="A22" s="74">
        <v>4</v>
      </c>
      <c r="B22" s="75" t="s">
        <v>34</v>
      </c>
      <c r="C22" s="76">
        <f t="shared" ref="C22:N22" si="6">C23+C26</f>
        <v>17541.400000000001</v>
      </c>
      <c r="D22" s="76">
        <f t="shared" si="6"/>
        <v>17541.400000000001</v>
      </c>
      <c r="E22" s="76">
        <f t="shared" si="6"/>
        <v>13756.199999999999</v>
      </c>
      <c r="F22" s="76">
        <f t="shared" si="6"/>
        <v>13756.199999999999</v>
      </c>
      <c r="G22" s="76">
        <f t="shared" si="6"/>
        <v>13756.199999999999</v>
      </c>
      <c r="H22" s="76">
        <f t="shared" si="6"/>
        <v>13756.199999999999</v>
      </c>
      <c r="I22" s="76">
        <f t="shared" si="6"/>
        <v>13756.199999999999</v>
      </c>
      <c r="J22" s="76">
        <f t="shared" si="6"/>
        <v>13756.199999999999</v>
      </c>
      <c r="K22" s="76">
        <f t="shared" si="6"/>
        <v>13756.2</v>
      </c>
      <c r="L22" s="76">
        <f t="shared" si="6"/>
        <v>13756.2</v>
      </c>
      <c r="M22" s="76">
        <f t="shared" si="6"/>
        <v>13756.2</v>
      </c>
      <c r="N22" s="77">
        <f t="shared" si="6"/>
        <v>13994.3</v>
      </c>
      <c r="S22" s="91"/>
    </row>
    <row r="23" spans="1:19" s="82" customFormat="1" ht="9.6" customHeight="1" x14ac:dyDescent="0.2">
      <c r="A23" s="78"/>
      <c r="B23" s="79" t="s">
        <v>18</v>
      </c>
      <c r="C23" s="80">
        <f t="shared" ref="C23:N23" si="7">C24+C25</f>
        <v>15944.1</v>
      </c>
      <c r="D23" s="80">
        <f t="shared" si="7"/>
        <v>15944.1</v>
      </c>
      <c r="E23" s="80">
        <f t="shared" si="7"/>
        <v>12158.9</v>
      </c>
      <c r="F23" s="80">
        <f t="shared" si="7"/>
        <v>12158.9</v>
      </c>
      <c r="G23" s="80">
        <f t="shared" si="7"/>
        <v>12158.9</v>
      </c>
      <c r="H23" s="80">
        <f t="shared" si="7"/>
        <v>12158.9</v>
      </c>
      <c r="I23" s="80">
        <f t="shared" si="7"/>
        <v>12158.9</v>
      </c>
      <c r="J23" s="80">
        <f t="shared" si="7"/>
        <v>12158.9</v>
      </c>
      <c r="K23" s="80">
        <f t="shared" si="7"/>
        <v>12282.7</v>
      </c>
      <c r="L23" s="80">
        <f t="shared" si="7"/>
        <v>12282.7</v>
      </c>
      <c r="M23" s="80">
        <f t="shared" si="7"/>
        <v>12282.7</v>
      </c>
      <c r="N23" s="81">
        <f t="shared" si="7"/>
        <v>12520.8</v>
      </c>
      <c r="P23" s="83"/>
      <c r="Q23" s="83"/>
      <c r="S23" s="83"/>
    </row>
    <row r="24" spans="1:19" s="89" customFormat="1" ht="9.6" customHeight="1" x14ac:dyDescent="0.2">
      <c r="A24" s="84"/>
      <c r="B24" s="85" t="s">
        <v>56</v>
      </c>
      <c r="C24" s="87">
        <v>15157.1</v>
      </c>
      <c r="D24" s="87">
        <v>15157.1</v>
      </c>
      <c r="E24" s="87">
        <v>11371.9</v>
      </c>
      <c r="F24" s="87">
        <v>11371.9</v>
      </c>
      <c r="G24" s="87">
        <v>11371.9</v>
      </c>
      <c r="H24" s="87">
        <v>11371.9</v>
      </c>
      <c r="I24" s="87">
        <v>11371.9</v>
      </c>
      <c r="J24" s="87">
        <v>11371.9</v>
      </c>
      <c r="K24" s="87">
        <v>11495.7</v>
      </c>
      <c r="L24" s="87">
        <v>11495.7</v>
      </c>
      <c r="M24" s="87">
        <v>11495.7</v>
      </c>
      <c r="N24" s="88">
        <v>11733.8</v>
      </c>
      <c r="S24" s="90"/>
    </row>
    <row r="25" spans="1:19" s="89" customFormat="1" ht="9.6" customHeight="1" x14ac:dyDescent="0.2">
      <c r="A25" s="84"/>
      <c r="B25" s="85" t="s">
        <v>23</v>
      </c>
      <c r="C25" s="87">
        <v>787</v>
      </c>
      <c r="D25" s="87">
        <v>787</v>
      </c>
      <c r="E25" s="87">
        <v>787</v>
      </c>
      <c r="F25" s="87">
        <v>787</v>
      </c>
      <c r="G25" s="87">
        <v>787</v>
      </c>
      <c r="H25" s="87">
        <v>787</v>
      </c>
      <c r="I25" s="87">
        <v>787</v>
      </c>
      <c r="J25" s="87">
        <v>787</v>
      </c>
      <c r="K25" s="87">
        <v>787</v>
      </c>
      <c r="L25" s="87">
        <v>787</v>
      </c>
      <c r="M25" s="87">
        <v>787</v>
      </c>
      <c r="N25" s="88">
        <v>787</v>
      </c>
      <c r="S25" s="90"/>
    </row>
    <row r="26" spans="1:19" s="82" customFormat="1" ht="9.6" customHeight="1" x14ac:dyDescent="0.2">
      <c r="A26" s="78"/>
      <c r="B26" s="79" t="s">
        <v>36</v>
      </c>
      <c r="C26" s="80">
        <v>1597.3</v>
      </c>
      <c r="D26" s="80">
        <v>1597.3</v>
      </c>
      <c r="E26" s="80">
        <v>1597.3</v>
      </c>
      <c r="F26" s="80">
        <v>1597.3</v>
      </c>
      <c r="G26" s="80">
        <v>1597.3</v>
      </c>
      <c r="H26" s="80">
        <v>1597.3</v>
      </c>
      <c r="I26" s="80">
        <v>1597.3</v>
      </c>
      <c r="J26" s="80">
        <v>1597.3</v>
      </c>
      <c r="K26" s="80">
        <v>1473.5</v>
      </c>
      <c r="L26" s="80">
        <v>1473.5</v>
      </c>
      <c r="M26" s="80">
        <v>1473.5</v>
      </c>
      <c r="N26" s="81">
        <v>1473.5</v>
      </c>
      <c r="S26" s="83"/>
    </row>
    <row r="27" spans="1:19" s="71" customFormat="1" ht="9.6" customHeight="1" x14ac:dyDescent="0.2">
      <c r="A27" s="92">
        <v>5</v>
      </c>
      <c r="B27" s="75" t="s">
        <v>76</v>
      </c>
      <c r="C27" s="76">
        <f t="shared" ref="C27:N27" si="8">C28</f>
        <v>-783.4</v>
      </c>
      <c r="D27" s="76">
        <f t="shared" si="8"/>
        <v>-890.3</v>
      </c>
      <c r="E27" s="76">
        <f t="shared" si="8"/>
        <v>1710.7</v>
      </c>
      <c r="F27" s="76">
        <f t="shared" si="8"/>
        <v>2713.3</v>
      </c>
      <c r="G27" s="76">
        <f t="shared" si="8"/>
        <v>2053</v>
      </c>
      <c r="H27" s="76">
        <f t="shared" si="8"/>
        <v>960.5</v>
      </c>
      <c r="I27" s="76">
        <f t="shared" si="8"/>
        <v>2399.4</v>
      </c>
      <c r="J27" s="76">
        <f t="shared" si="8"/>
        <v>2128.9</v>
      </c>
      <c r="K27" s="76">
        <f t="shared" si="8"/>
        <v>1293.5</v>
      </c>
      <c r="L27" s="76">
        <f t="shared" si="8"/>
        <v>2723.5</v>
      </c>
      <c r="M27" s="76">
        <f t="shared" si="8"/>
        <v>2808.8</v>
      </c>
      <c r="N27" s="77">
        <f t="shared" si="8"/>
        <v>6546.7</v>
      </c>
      <c r="S27" s="91"/>
    </row>
    <row r="28" spans="1:19" s="82" customFormat="1" ht="9.6" customHeight="1" x14ac:dyDescent="0.2">
      <c r="A28" s="78"/>
      <c r="B28" s="79" t="s">
        <v>70</v>
      </c>
      <c r="C28" s="107">
        <v>-783.4</v>
      </c>
      <c r="D28" s="107">
        <v>-890.3</v>
      </c>
      <c r="E28" s="107">
        <v>1710.7</v>
      </c>
      <c r="F28" s="107">
        <v>2713.3</v>
      </c>
      <c r="G28" s="107">
        <v>2053</v>
      </c>
      <c r="H28" s="107">
        <v>960.5</v>
      </c>
      <c r="I28" s="107">
        <v>2399.4</v>
      </c>
      <c r="J28" s="107">
        <v>2128.9</v>
      </c>
      <c r="K28" s="107">
        <v>1293.5</v>
      </c>
      <c r="L28" s="107">
        <v>2723.5</v>
      </c>
      <c r="M28" s="107">
        <v>2808.8</v>
      </c>
      <c r="N28" s="108">
        <v>6546.7</v>
      </c>
      <c r="S28" s="83"/>
    </row>
    <row r="29" spans="1:19" s="71" customFormat="1" ht="9.6" customHeight="1" x14ac:dyDescent="0.2">
      <c r="A29" s="74">
        <v>6</v>
      </c>
      <c r="B29" s="75" t="s">
        <v>38</v>
      </c>
      <c r="C29" s="76">
        <f t="shared" ref="C29:N29" si="9">C30+C33</f>
        <v>53573.5</v>
      </c>
      <c r="D29" s="76">
        <f t="shared" si="9"/>
        <v>53466.600000000006</v>
      </c>
      <c r="E29" s="76">
        <f t="shared" si="9"/>
        <v>56067.600000000006</v>
      </c>
      <c r="F29" s="76">
        <f t="shared" si="9"/>
        <v>57070.2</v>
      </c>
      <c r="G29" s="76">
        <f t="shared" si="9"/>
        <v>57009.9</v>
      </c>
      <c r="H29" s="76">
        <f t="shared" si="9"/>
        <v>56917.399999999994</v>
      </c>
      <c r="I29" s="76">
        <f t="shared" si="9"/>
        <v>58006.2</v>
      </c>
      <c r="J29" s="76">
        <f t="shared" si="9"/>
        <v>59535.799999999996</v>
      </c>
      <c r="K29" s="76">
        <f t="shared" si="9"/>
        <v>59600.500000000007</v>
      </c>
      <c r="L29" s="76">
        <f t="shared" si="9"/>
        <v>61629.2</v>
      </c>
      <c r="M29" s="76">
        <f t="shared" si="9"/>
        <v>62414.400000000001</v>
      </c>
      <c r="N29" s="77">
        <f t="shared" si="9"/>
        <v>66590.400000000009</v>
      </c>
      <c r="S29" s="91"/>
    </row>
    <row r="30" spans="1:19" s="82" customFormat="1" ht="9.6" customHeight="1" x14ac:dyDescent="0.2">
      <c r="A30" s="93"/>
      <c r="B30" s="79" t="s">
        <v>18</v>
      </c>
      <c r="C30" s="80">
        <f t="shared" ref="C30:N30" si="10">C31+C32</f>
        <v>36751.199999999997</v>
      </c>
      <c r="D30" s="80">
        <f t="shared" si="10"/>
        <v>36969.200000000004</v>
      </c>
      <c r="E30" s="80">
        <f t="shared" si="10"/>
        <v>39395.200000000004</v>
      </c>
      <c r="F30" s="80">
        <f t="shared" si="10"/>
        <v>40397.9</v>
      </c>
      <c r="G30" s="80">
        <f t="shared" si="10"/>
        <v>40421</v>
      </c>
      <c r="H30" s="80">
        <f t="shared" si="10"/>
        <v>39342</v>
      </c>
      <c r="I30" s="80">
        <f t="shared" si="10"/>
        <v>40615.899999999994</v>
      </c>
      <c r="J30" s="80">
        <f t="shared" si="10"/>
        <v>42340.7</v>
      </c>
      <c r="K30" s="80">
        <f t="shared" si="10"/>
        <v>41656.100000000006</v>
      </c>
      <c r="L30" s="80">
        <f t="shared" si="10"/>
        <v>43808.9</v>
      </c>
      <c r="M30" s="80">
        <f t="shared" si="10"/>
        <v>44706.9</v>
      </c>
      <c r="N30" s="81">
        <f t="shared" si="10"/>
        <v>48996.100000000006</v>
      </c>
      <c r="S30" s="83"/>
    </row>
    <row r="31" spans="1:19" s="89" customFormat="1" ht="9.6" customHeight="1" x14ac:dyDescent="0.2">
      <c r="A31" s="94"/>
      <c r="B31" s="85" t="s">
        <v>19</v>
      </c>
      <c r="C31" s="87">
        <f t="shared" ref="C31:N31" si="11">C8+C14+C19+C24+C28</f>
        <v>17712.099999999999</v>
      </c>
      <c r="D31" s="87">
        <f t="shared" si="11"/>
        <v>19821.400000000001</v>
      </c>
      <c r="E31" s="87">
        <f t="shared" si="11"/>
        <v>23549.100000000002</v>
      </c>
      <c r="F31" s="87">
        <f t="shared" si="11"/>
        <v>25951.200000000001</v>
      </c>
      <c r="G31" s="87">
        <f t="shared" si="11"/>
        <v>24912.3</v>
      </c>
      <c r="H31" s="87">
        <f t="shared" si="11"/>
        <v>23238.300000000003</v>
      </c>
      <c r="I31" s="87">
        <f t="shared" si="11"/>
        <v>20637.2</v>
      </c>
      <c r="J31" s="87">
        <f t="shared" si="11"/>
        <v>21439.4</v>
      </c>
      <c r="K31" s="87">
        <f t="shared" si="11"/>
        <v>21842.300000000003</v>
      </c>
      <c r="L31" s="87">
        <f t="shared" si="11"/>
        <v>22073.7</v>
      </c>
      <c r="M31" s="87">
        <f t="shared" si="11"/>
        <v>21707.7</v>
      </c>
      <c r="N31" s="88">
        <f t="shared" si="11"/>
        <v>23603.200000000001</v>
      </c>
      <c r="S31" s="90"/>
    </row>
    <row r="32" spans="1:19" s="89" customFormat="1" ht="9.6" customHeight="1" x14ac:dyDescent="0.2">
      <c r="A32" s="94"/>
      <c r="B32" s="85" t="s">
        <v>23</v>
      </c>
      <c r="C32" s="87">
        <f t="shared" ref="C32:N33" si="12">C9+C15+C20+C25</f>
        <v>19039.099999999999</v>
      </c>
      <c r="D32" s="87">
        <f t="shared" si="12"/>
        <v>17147.800000000003</v>
      </c>
      <c r="E32" s="87">
        <f t="shared" si="12"/>
        <v>15846.1</v>
      </c>
      <c r="F32" s="87">
        <f t="shared" si="12"/>
        <v>14446.7</v>
      </c>
      <c r="G32" s="87">
        <f t="shared" si="12"/>
        <v>15508.7</v>
      </c>
      <c r="H32" s="87">
        <f t="shared" si="12"/>
        <v>16103.7</v>
      </c>
      <c r="I32" s="87">
        <f t="shared" si="12"/>
        <v>19978.699999999997</v>
      </c>
      <c r="J32" s="87">
        <f t="shared" si="12"/>
        <v>20901.3</v>
      </c>
      <c r="K32" s="87">
        <f t="shared" si="12"/>
        <v>19813.8</v>
      </c>
      <c r="L32" s="87">
        <f t="shared" si="12"/>
        <v>21735.200000000001</v>
      </c>
      <c r="M32" s="87">
        <f t="shared" si="12"/>
        <v>22999.200000000001</v>
      </c>
      <c r="N32" s="88">
        <f t="shared" si="12"/>
        <v>25392.9</v>
      </c>
      <c r="S32" s="90"/>
    </row>
    <row r="33" spans="1:19" s="82" customFormat="1" ht="9.6" customHeight="1" x14ac:dyDescent="0.2">
      <c r="A33" s="93"/>
      <c r="B33" s="79" t="s">
        <v>24</v>
      </c>
      <c r="C33" s="80">
        <f t="shared" si="12"/>
        <v>16822.3</v>
      </c>
      <c r="D33" s="80">
        <f t="shared" si="12"/>
        <v>16497.400000000001</v>
      </c>
      <c r="E33" s="80">
        <f t="shared" si="12"/>
        <v>16672.399999999998</v>
      </c>
      <c r="F33" s="80">
        <f t="shared" si="12"/>
        <v>16672.3</v>
      </c>
      <c r="G33" s="80">
        <f t="shared" si="12"/>
        <v>16588.900000000001</v>
      </c>
      <c r="H33" s="80">
        <f t="shared" si="12"/>
        <v>17575.399999999998</v>
      </c>
      <c r="I33" s="80">
        <f t="shared" si="12"/>
        <v>17390.3</v>
      </c>
      <c r="J33" s="80">
        <f t="shared" si="12"/>
        <v>17195.099999999999</v>
      </c>
      <c r="K33" s="80">
        <f t="shared" si="12"/>
        <v>17944.400000000001</v>
      </c>
      <c r="L33" s="80">
        <f t="shared" si="12"/>
        <v>17820.3</v>
      </c>
      <c r="M33" s="80">
        <f t="shared" si="12"/>
        <v>17707.5</v>
      </c>
      <c r="N33" s="81">
        <f t="shared" si="12"/>
        <v>17594.3</v>
      </c>
      <c r="P33" s="83"/>
      <c r="Q33" s="83"/>
      <c r="S33" s="83"/>
    </row>
    <row r="34" spans="1:19" s="89" customFormat="1" ht="9.6" customHeight="1" thickBot="1" x14ac:dyDescent="0.25">
      <c r="A34" s="95"/>
      <c r="B34" s="96" t="s">
        <v>25</v>
      </c>
      <c r="C34" s="97">
        <f t="shared" ref="C34:N34" si="13">C11</f>
        <v>2352.5</v>
      </c>
      <c r="D34" s="97">
        <f t="shared" si="13"/>
        <v>2038.8</v>
      </c>
      <c r="E34" s="97">
        <f t="shared" si="13"/>
        <v>2280.1999999999998</v>
      </c>
      <c r="F34" s="97">
        <f t="shared" si="13"/>
        <v>2486.1999999999998</v>
      </c>
      <c r="G34" s="97">
        <f t="shared" si="13"/>
        <v>2365.1</v>
      </c>
      <c r="H34" s="97">
        <f t="shared" si="13"/>
        <v>2258.4</v>
      </c>
      <c r="I34" s="97">
        <f t="shared" si="13"/>
        <v>2147.4</v>
      </c>
      <c r="J34" s="97">
        <f t="shared" si="13"/>
        <v>1478.8</v>
      </c>
      <c r="K34" s="97">
        <f t="shared" si="13"/>
        <v>1723.8</v>
      </c>
      <c r="L34" s="97">
        <f t="shared" si="13"/>
        <v>1713.8</v>
      </c>
      <c r="M34" s="97">
        <f t="shared" si="13"/>
        <v>1635</v>
      </c>
      <c r="N34" s="98">
        <f t="shared" si="13"/>
        <v>1968.3</v>
      </c>
      <c r="P34" s="90"/>
      <c r="Q34" s="90"/>
      <c r="S34" s="90"/>
    </row>
    <row r="35" spans="1:19" s="82" customFormat="1" ht="9.9" customHeight="1" thickTop="1" x14ac:dyDescent="0.2">
      <c r="A35" s="99" t="s">
        <v>21</v>
      </c>
      <c r="B35" s="100" t="s">
        <v>58</v>
      </c>
      <c r="D35" s="83"/>
      <c r="E35" s="83"/>
      <c r="G35" s="83"/>
      <c r="H35" s="83"/>
      <c r="I35" s="83"/>
      <c r="J35" s="83"/>
      <c r="K35" s="83"/>
      <c r="L35" s="83"/>
      <c r="M35" s="83"/>
      <c r="N35" s="83"/>
      <c r="P35" s="83"/>
      <c r="Q35" s="83"/>
      <c r="S35" s="83"/>
    </row>
    <row r="36" spans="1:19" s="82" customFormat="1" ht="9.9" customHeight="1" x14ac:dyDescent="0.2">
      <c r="A36" s="99" t="s">
        <v>59</v>
      </c>
      <c r="B36" s="100" t="s">
        <v>77</v>
      </c>
      <c r="P36" s="83"/>
      <c r="Q36" s="83"/>
      <c r="S36" s="83"/>
    </row>
    <row r="37" spans="1:19" s="82" customFormat="1" ht="9.9" customHeight="1" x14ac:dyDescent="0.2">
      <c r="A37" s="99" t="s">
        <v>61</v>
      </c>
      <c r="B37" s="100" t="s">
        <v>78</v>
      </c>
      <c r="D37" s="83"/>
    </row>
    <row r="38" spans="1:19" s="82" customFormat="1" ht="9.9" customHeight="1" x14ac:dyDescent="0.2">
      <c r="A38" s="101" t="s">
        <v>63</v>
      </c>
      <c r="B38" s="100" t="s">
        <v>79</v>
      </c>
      <c r="S38" s="83"/>
    </row>
    <row r="39" spans="1:19" s="82" customFormat="1" ht="9.9" customHeight="1" x14ac:dyDescent="0.2">
      <c r="A39" s="99"/>
      <c r="B39" s="100" t="s">
        <v>65</v>
      </c>
    </row>
    <row r="40" spans="1:19" s="82" customFormat="1" ht="9.9" customHeight="1" x14ac:dyDescent="0.2">
      <c r="A40" s="99"/>
      <c r="B40" s="100" t="s">
        <v>66</v>
      </c>
    </row>
    <row r="41" spans="1:19" s="82" customFormat="1" ht="9.9" customHeight="1" x14ac:dyDescent="0.2">
      <c r="A41" s="99" t="s">
        <v>30</v>
      </c>
      <c r="B41" s="100" t="s">
        <v>80</v>
      </c>
    </row>
    <row r="42" spans="1:19" s="89" customFormat="1" ht="10.199999999999999" x14ac:dyDescent="0.2">
      <c r="A42" s="109" t="s">
        <v>67</v>
      </c>
    </row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opLeftCell="A10" workbookViewId="0">
      <selection activeCell="M28" sqref="M28"/>
    </sheetView>
  </sheetViews>
  <sheetFormatPr defaultColWidth="11" defaultRowHeight="7.2" x14ac:dyDescent="0.15"/>
  <cols>
    <col min="1" max="1" width="3" style="70" customWidth="1"/>
    <col min="2" max="2" width="22.5546875" style="1" customWidth="1"/>
    <col min="3" max="14" width="7.5546875" style="1" bestFit="1" customWidth="1"/>
    <col min="15" max="17" width="9.88671875" style="1" customWidth="1"/>
    <col min="18" max="256" width="11" style="1"/>
    <col min="257" max="257" width="3" style="1" customWidth="1"/>
    <col min="258" max="258" width="22.5546875" style="1" customWidth="1"/>
    <col min="259" max="270" width="7.5546875" style="1" bestFit="1" customWidth="1"/>
    <col min="271" max="273" width="9.88671875" style="1" customWidth="1"/>
    <col min="274" max="512" width="11" style="1"/>
    <col min="513" max="513" width="3" style="1" customWidth="1"/>
    <col min="514" max="514" width="22.5546875" style="1" customWidth="1"/>
    <col min="515" max="526" width="7.5546875" style="1" bestFit="1" customWidth="1"/>
    <col min="527" max="529" width="9.88671875" style="1" customWidth="1"/>
    <col min="530" max="768" width="11" style="1"/>
    <col min="769" max="769" width="3" style="1" customWidth="1"/>
    <col min="770" max="770" width="22.5546875" style="1" customWidth="1"/>
    <col min="771" max="782" width="7.5546875" style="1" bestFit="1" customWidth="1"/>
    <col min="783" max="785" width="9.88671875" style="1" customWidth="1"/>
    <col min="786" max="1024" width="11" style="1"/>
    <col min="1025" max="1025" width="3" style="1" customWidth="1"/>
    <col min="1026" max="1026" width="22.5546875" style="1" customWidth="1"/>
    <col min="1027" max="1038" width="7.5546875" style="1" bestFit="1" customWidth="1"/>
    <col min="1039" max="1041" width="9.88671875" style="1" customWidth="1"/>
    <col min="1042" max="1280" width="11" style="1"/>
    <col min="1281" max="1281" width="3" style="1" customWidth="1"/>
    <col min="1282" max="1282" width="22.5546875" style="1" customWidth="1"/>
    <col min="1283" max="1294" width="7.5546875" style="1" bestFit="1" customWidth="1"/>
    <col min="1295" max="1297" width="9.88671875" style="1" customWidth="1"/>
    <col min="1298" max="1536" width="11" style="1"/>
    <col min="1537" max="1537" width="3" style="1" customWidth="1"/>
    <col min="1538" max="1538" width="22.5546875" style="1" customWidth="1"/>
    <col min="1539" max="1550" width="7.5546875" style="1" bestFit="1" customWidth="1"/>
    <col min="1551" max="1553" width="9.88671875" style="1" customWidth="1"/>
    <col min="1554" max="1792" width="11" style="1"/>
    <col min="1793" max="1793" width="3" style="1" customWidth="1"/>
    <col min="1794" max="1794" width="22.5546875" style="1" customWidth="1"/>
    <col min="1795" max="1806" width="7.5546875" style="1" bestFit="1" customWidth="1"/>
    <col min="1807" max="1809" width="9.88671875" style="1" customWidth="1"/>
    <col min="1810" max="2048" width="11" style="1"/>
    <col min="2049" max="2049" width="3" style="1" customWidth="1"/>
    <col min="2050" max="2050" width="22.5546875" style="1" customWidth="1"/>
    <col min="2051" max="2062" width="7.5546875" style="1" bestFit="1" customWidth="1"/>
    <col min="2063" max="2065" width="9.88671875" style="1" customWidth="1"/>
    <col min="2066" max="2304" width="11" style="1"/>
    <col min="2305" max="2305" width="3" style="1" customWidth="1"/>
    <col min="2306" max="2306" width="22.5546875" style="1" customWidth="1"/>
    <col min="2307" max="2318" width="7.5546875" style="1" bestFit="1" customWidth="1"/>
    <col min="2319" max="2321" width="9.88671875" style="1" customWidth="1"/>
    <col min="2322" max="2560" width="11" style="1"/>
    <col min="2561" max="2561" width="3" style="1" customWidth="1"/>
    <col min="2562" max="2562" width="22.5546875" style="1" customWidth="1"/>
    <col min="2563" max="2574" width="7.5546875" style="1" bestFit="1" customWidth="1"/>
    <col min="2575" max="2577" width="9.88671875" style="1" customWidth="1"/>
    <col min="2578" max="2816" width="11" style="1"/>
    <col min="2817" max="2817" width="3" style="1" customWidth="1"/>
    <col min="2818" max="2818" width="22.5546875" style="1" customWidth="1"/>
    <col min="2819" max="2830" width="7.5546875" style="1" bestFit="1" customWidth="1"/>
    <col min="2831" max="2833" width="9.88671875" style="1" customWidth="1"/>
    <col min="2834" max="3072" width="11" style="1"/>
    <col min="3073" max="3073" width="3" style="1" customWidth="1"/>
    <col min="3074" max="3074" width="22.5546875" style="1" customWidth="1"/>
    <col min="3075" max="3086" width="7.5546875" style="1" bestFit="1" customWidth="1"/>
    <col min="3087" max="3089" width="9.88671875" style="1" customWidth="1"/>
    <col min="3090" max="3328" width="11" style="1"/>
    <col min="3329" max="3329" width="3" style="1" customWidth="1"/>
    <col min="3330" max="3330" width="22.5546875" style="1" customWidth="1"/>
    <col min="3331" max="3342" width="7.5546875" style="1" bestFit="1" customWidth="1"/>
    <col min="3343" max="3345" width="9.88671875" style="1" customWidth="1"/>
    <col min="3346" max="3584" width="11" style="1"/>
    <col min="3585" max="3585" width="3" style="1" customWidth="1"/>
    <col min="3586" max="3586" width="22.5546875" style="1" customWidth="1"/>
    <col min="3587" max="3598" width="7.5546875" style="1" bestFit="1" customWidth="1"/>
    <col min="3599" max="3601" width="9.88671875" style="1" customWidth="1"/>
    <col min="3602" max="3840" width="11" style="1"/>
    <col min="3841" max="3841" width="3" style="1" customWidth="1"/>
    <col min="3842" max="3842" width="22.5546875" style="1" customWidth="1"/>
    <col min="3843" max="3854" width="7.5546875" style="1" bestFit="1" customWidth="1"/>
    <col min="3855" max="3857" width="9.88671875" style="1" customWidth="1"/>
    <col min="3858" max="4096" width="11" style="1"/>
    <col min="4097" max="4097" width="3" style="1" customWidth="1"/>
    <col min="4098" max="4098" width="22.5546875" style="1" customWidth="1"/>
    <col min="4099" max="4110" width="7.5546875" style="1" bestFit="1" customWidth="1"/>
    <col min="4111" max="4113" width="9.88671875" style="1" customWidth="1"/>
    <col min="4114" max="4352" width="11" style="1"/>
    <col min="4353" max="4353" width="3" style="1" customWidth="1"/>
    <col min="4354" max="4354" width="22.5546875" style="1" customWidth="1"/>
    <col min="4355" max="4366" width="7.5546875" style="1" bestFit="1" customWidth="1"/>
    <col min="4367" max="4369" width="9.88671875" style="1" customWidth="1"/>
    <col min="4370" max="4608" width="11" style="1"/>
    <col min="4609" max="4609" width="3" style="1" customWidth="1"/>
    <col min="4610" max="4610" width="22.5546875" style="1" customWidth="1"/>
    <col min="4611" max="4622" width="7.5546875" style="1" bestFit="1" customWidth="1"/>
    <col min="4623" max="4625" width="9.88671875" style="1" customWidth="1"/>
    <col min="4626" max="4864" width="11" style="1"/>
    <col min="4865" max="4865" width="3" style="1" customWidth="1"/>
    <col min="4866" max="4866" width="22.5546875" style="1" customWidth="1"/>
    <col min="4867" max="4878" width="7.5546875" style="1" bestFit="1" customWidth="1"/>
    <col min="4879" max="4881" width="9.88671875" style="1" customWidth="1"/>
    <col min="4882" max="5120" width="11" style="1"/>
    <col min="5121" max="5121" width="3" style="1" customWidth="1"/>
    <col min="5122" max="5122" width="22.5546875" style="1" customWidth="1"/>
    <col min="5123" max="5134" width="7.5546875" style="1" bestFit="1" customWidth="1"/>
    <col min="5135" max="5137" width="9.88671875" style="1" customWidth="1"/>
    <col min="5138" max="5376" width="11" style="1"/>
    <col min="5377" max="5377" width="3" style="1" customWidth="1"/>
    <col min="5378" max="5378" width="22.5546875" style="1" customWidth="1"/>
    <col min="5379" max="5390" width="7.5546875" style="1" bestFit="1" customWidth="1"/>
    <col min="5391" max="5393" width="9.88671875" style="1" customWidth="1"/>
    <col min="5394" max="5632" width="11" style="1"/>
    <col min="5633" max="5633" width="3" style="1" customWidth="1"/>
    <col min="5634" max="5634" width="22.5546875" style="1" customWidth="1"/>
    <col min="5635" max="5646" width="7.5546875" style="1" bestFit="1" customWidth="1"/>
    <col min="5647" max="5649" width="9.88671875" style="1" customWidth="1"/>
    <col min="5650" max="5888" width="11" style="1"/>
    <col min="5889" max="5889" width="3" style="1" customWidth="1"/>
    <col min="5890" max="5890" width="22.5546875" style="1" customWidth="1"/>
    <col min="5891" max="5902" width="7.5546875" style="1" bestFit="1" customWidth="1"/>
    <col min="5903" max="5905" width="9.88671875" style="1" customWidth="1"/>
    <col min="5906" max="6144" width="11" style="1"/>
    <col min="6145" max="6145" width="3" style="1" customWidth="1"/>
    <col min="6146" max="6146" width="22.5546875" style="1" customWidth="1"/>
    <col min="6147" max="6158" width="7.5546875" style="1" bestFit="1" customWidth="1"/>
    <col min="6159" max="6161" width="9.88671875" style="1" customWidth="1"/>
    <col min="6162" max="6400" width="11" style="1"/>
    <col min="6401" max="6401" width="3" style="1" customWidth="1"/>
    <col min="6402" max="6402" width="22.5546875" style="1" customWidth="1"/>
    <col min="6403" max="6414" width="7.5546875" style="1" bestFit="1" customWidth="1"/>
    <col min="6415" max="6417" width="9.88671875" style="1" customWidth="1"/>
    <col min="6418" max="6656" width="11" style="1"/>
    <col min="6657" max="6657" width="3" style="1" customWidth="1"/>
    <col min="6658" max="6658" width="22.5546875" style="1" customWidth="1"/>
    <col min="6659" max="6670" width="7.5546875" style="1" bestFit="1" customWidth="1"/>
    <col min="6671" max="6673" width="9.88671875" style="1" customWidth="1"/>
    <col min="6674" max="6912" width="11" style="1"/>
    <col min="6913" max="6913" width="3" style="1" customWidth="1"/>
    <col min="6914" max="6914" width="22.5546875" style="1" customWidth="1"/>
    <col min="6915" max="6926" width="7.5546875" style="1" bestFit="1" customWidth="1"/>
    <col min="6927" max="6929" width="9.88671875" style="1" customWidth="1"/>
    <col min="6930" max="7168" width="11" style="1"/>
    <col min="7169" max="7169" width="3" style="1" customWidth="1"/>
    <col min="7170" max="7170" width="22.5546875" style="1" customWidth="1"/>
    <col min="7171" max="7182" width="7.5546875" style="1" bestFit="1" customWidth="1"/>
    <col min="7183" max="7185" width="9.88671875" style="1" customWidth="1"/>
    <col min="7186" max="7424" width="11" style="1"/>
    <col min="7425" max="7425" width="3" style="1" customWidth="1"/>
    <col min="7426" max="7426" width="22.5546875" style="1" customWidth="1"/>
    <col min="7427" max="7438" width="7.5546875" style="1" bestFit="1" customWidth="1"/>
    <col min="7439" max="7441" width="9.88671875" style="1" customWidth="1"/>
    <col min="7442" max="7680" width="11" style="1"/>
    <col min="7681" max="7681" width="3" style="1" customWidth="1"/>
    <col min="7682" max="7682" width="22.5546875" style="1" customWidth="1"/>
    <col min="7683" max="7694" width="7.5546875" style="1" bestFit="1" customWidth="1"/>
    <col min="7695" max="7697" width="9.88671875" style="1" customWidth="1"/>
    <col min="7698" max="7936" width="11" style="1"/>
    <col min="7937" max="7937" width="3" style="1" customWidth="1"/>
    <col min="7938" max="7938" width="22.5546875" style="1" customWidth="1"/>
    <col min="7939" max="7950" width="7.5546875" style="1" bestFit="1" customWidth="1"/>
    <col min="7951" max="7953" width="9.88671875" style="1" customWidth="1"/>
    <col min="7954" max="8192" width="11" style="1"/>
    <col min="8193" max="8193" width="3" style="1" customWidth="1"/>
    <col min="8194" max="8194" width="22.5546875" style="1" customWidth="1"/>
    <col min="8195" max="8206" width="7.5546875" style="1" bestFit="1" customWidth="1"/>
    <col min="8207" max="8209" width="9.88671875" style="1" customWidth="1"/>
    <col min="8210" max="8448" width="11" style="1"/>
    <col min="8449" max="8449" width="3" style="1" customWidth="1"/>
    <col min="8450" max="8450" width="22.5546875" style="1" customWidth="1"/>
    <col min="8451" max="8462" width="7.5546875" style="1" bestFit="1" customWidth="1"/>
    <col min="8463" max="8465" width="9.88671875" style="1" customWidth="1"/>
    <col min="8466" max="8704" width="11" style="1"/>
    <col min="8705" max="8705" width="3" style="1" customWidth="1"/>
    <col min="8706" max="8706" width="22.5546875" style="1" customWidth="1"/>
    <col min="8707" max="8718" width="7.5546875" style="1" bestFit="1" customWidth="1"/>
    <col min="8719" max="8721" width="9.88671875" style="1" customWidth="1"/>
    <col min="8722" max="8960" width="11" style="1"/>
    <col min="8961" max="8961" width="3" style="1" customWidth="1"/>
    <col min="8962" max="8962" width="22.5546875" style="1" customWidth="1"/>
    <col min="8963" max="8974" width="7.5546875" style="1" bestFit="1" customWidth="1"/>
    <col min="8975" max="8977" width="9.88671875" style="1" customWidth="1"/>
    <col min="8978" max="9216" width="11" style="1"/>
    <col min="9217" max="9217" width="3" style="1" customWidth="1"/>
    <col min="9218" max="9218" width="22.5546875" style="1" customWidth="1"/>
    <col min="9219" max="9230" width="7.5546875" style="1" bestFit="1" customWidth="1"/>
    <col min="9231" max="9233" width="9.88671875" style="1" customWidth="1"/>
    <col min="9234" max="9472" width="11" style="1"/>
    <col min="9473" max="9473" width="3" style="1" customWidth="1"/>
    <col min="9474" max="9474" width="22.5546875" style="1" customWidth="1"/>
    <col min="9475" max="9486" width="7.5546875" style="1" bestFit="1" customWidth="1"/>
    <col min="9487" max="9489" width="9.88671875" style="1" customWidth="1"/>
    <col min="9490" max="9728" width="11" style="1"/>
    <col min="9729" max="9729" width="3" style="1" customWidth="1"/>
    <col min="9730" max="9730" width="22.5546875" style="1" customWidth="1"/>
    <col min="9731" max="9742" width="7.5546875" style="1" bestFit="1" customWidth="1"/>
    <col min="9743" max="9745" width="9.88671875" style="1" customWidth="1"/>
    <col min="9746" max="9984" width="11" style="1"/>
    <col min="9985" max="9985" width="3" style="1" customWidth="1"/>
    <col min="9986" max="9986" width="22.5546875" style="1" customWidth="1"/>
    <col min="9987" max="9998" width="7.5546875" style="1" bestFit="1" customWidth="1"/>
    <col min="9999" max="10001" width="9.88671875" style="1" customWidth="1"/>
    <col min="10002" max="10240" width="11" style="1"/>
    <col min="10241" max="10241" width="3" style="1" customWidth="1"/>
    <col min="10242" max="10242" width="22.5546875" style="1" customWidth="1"/>
    <col min="10243" max="10254" width="7.5546875" style="1" bestFit="1" customWidth="1"/>
    <col min="10255" max="10257" width="9.88671875" style="1" customWidth="1"/>
    <col min="10258" max="10496" width="11" style="1"/>
    <col min="10497" max="10497" width="3" style="1" customWidth="1"/>
    <col min="10498" max="10498" width="22.5546875" style="1" customWidth="1"/>
    <col min="10499" max="10510" width="7.5546875" style="1" bestFit="1" customWidth="1"/>
    <col min="10511" max="10513" width="9.88671875" style="1" customWidth="1"/>
    <col min="10514" max="10752" width="11" style="1"/>
    <col min="10753" max="10753" width="3" style="1" customWidth="1"/>
    <col min="10754" max="10754" width="22.5546875" style="1" customWidth="1"/>
    <col min="10755" max="10766" width="7.5546875" style="1" bestFit="1" customWidth="1"/>
    <col min="10767" max="10769" width="9.88671875" style="1" customWidth="1"/>
    <col min="10770" max="11008" width="11" style="1"/>
    <col min="11009" max="11009" width="3" style="1" customWidth="1"/>
    <col min="11010" max="11010" width="22.5546875" style="1" customWidth="1"/>
    <col min="11011" max="11022" width="7.5546875" style="1" bestFit="1" customWidth="1"/>
    <col min="11023" max="11025" width="9.88671875" style="1" customWidth="1"/>
    <col min="11026" max="11264" width="11" style="1"/>
    <col min="11265" max="11265" width="3" style="1" customWidth="1"/>
    <col min="11266" max="11266" width="22.5546875" style="1" customWidth="1"/>
    <col min="11267" max="11278" width="7.5546875" style="1" bestFit="1" customWidth="1"/>
    <col min="11279" max="11281" width="9.88671875" style="1" customWidth="1"/>
    <col min="11282" max="11520" width="11" style="1"/>
    <col min="11521" max="11521" width="3" style="1" customWidth="1"/>
    <col min="11522" max="11522" width="22.5546875" style="1" customWidth="1"/>
    <col min="11523" max="11534" width="7.5546875" style="1" bestFit="1" customWidth="1"/>
    <col min="11535" max="11537" width="9.88671875" style="1" customWidth="1"/>
    <col min="11538" max="11776" width="11" style="1"/>
    <col min="11777" max="11777" width="3" style="1" customWidth="1"/>
    <col min="11778" max="11778" width="22.5546875" style="1" customWidth="1"/>
    <col min="11779" max="11790" width="7.5546875" style="1" bestFit="1" customWidth="1"/>
    <col min="11791" max="11793" width="9.88671875" style="1" customWidth="1"/>
    <col min="11794" max="12032" width="11" style="1"/>
    <col min="12033" max="12033" width="3" style="1" customWidth="1"/>
    <col min="12034" max="12034" width="22.5546875" style="1" customWidth="1"/>
    <col min="12035" max="12046" width="7.5546875" style="1" bestFit="1" customWidth="1"/>
    <col min="12047" max="12049" width="9.88671875" style="1" customWidth="1"/>
    <col min="12050" max="12288" width="11" style="1"/>
    <col min="12289" max="12289" width="3" style="1" customWidth="1"/>
    <col min="12290" max="12290" width="22.5546875" style="1" customWidth="1"/>
    <col min="12291" max="12302" width="7.5546875" style="1" bestFit="1" customWidth="1"/>
    <col min="12303" max="12305" width="9.88671875" style="1" customWidth="1"/>
    <col min="12306" max="12544" width="11" style="1"/>
    <col min="12545" max="12545" width="3" style="1" customWidth="1"/>
    <col min="12546" max="12546" width="22.5546875" style="1" customWidth="1"/>
    <col min="12547" max="12558" width="7.5546875" style="1" bestFit="1" customWidth="1"/>
    <col min="12559" max="12561" width="9.88671875" style="1" customWidth="1"/>
    <col min="12562" max="12800" width="11" style="1"/>
    <col min="12801" max="12801" width="3" style="1" customWidth="1"/>
    <col min="12802" max="12802" width="22.5546875" style="1" customWidth="1"/>
    <col min="12803" max="12814" width="7.5546875" style="1" bestFit="1" customWidth="1"/>
    <col min="12815" max="12817" width="9.88671875" style="1" customWidth="1"/>
    <col min="12818" max="13056" width="11" style="1"/>
    <col min="13057" max="13057" width="3" style="1" customWidth="1"/>
    <col min="13058" max="13058" width="22.5546875" style="1" customWidth="1"/>
    <col min="13059" max="13070" width="7.5546875" style="1" bestFit="1" customWidth="1"/>
    <col min="13071" max="13073" width="9.88671875" style="1" customWidth="1"/>
    <col min="13074" max="13312" width="11" style="1"/>
    <col min="13313" max="13313" width="3" style="1" customWidth="1"/>
    <col min="13314" max="13314" width="22.5546875" style="1" customWidth="1"/>
    <col min="13315" max="13326" width="7.5546875" style="1" bestFit="1" customWidth="1"/>
    <col min="13327" max="13329" width="9.88671875" style="1" customWidth="1"/>
    <col min="13330" max="13568" width="11" style="1"/>
    <col min="13569" max="13569" width="3" style="1" customWidth="1"/>
    <col min="13570" max="13570" width="22.5546875" style="1" customWidth="1"/>
    <col min="13571" max="13582" width="7.5546875" style="1" bestFit="1" customWidth="1"/>
    <col min="13583" max="13585" width="9.88671875" style="1" customWidth="1"/>
    <col min="13586" max="13824" width="11" style="1"/>
    <col min="13825" max="13825" width="3" style="1" customWidth="1"/>
    <col min="13826" max="13826" width="22.5546875" style="1" customWidth="1"/>
    <col min="13827" max="13838" width="7.5546875" style="1" bestFit="1" customWidth="1"/>
    <col min="13839" max="13841" width="9.88671875" style="1" customWidth="1"/>
    <col min="13842" max="14080" width="11" style="1"/>
    <col min="14081" max="14081" width="3" style="1" customWidth="1"/>
    <col min="14082" max="14082" width="22.5546875" style="1" customWidth="1"/>
    <col min="14083" max="14094" width="7.5546875" style="1" bestFit="1" customWidth="1"/>
    <col min="14095" max="14097" width="9.88671875" style="1" customWidth="1"/>
    <col min="14098" max="14336" width="11" style="1"/>
    <col min="14337" max="14337" width="3" style="1" customWidth="1"/>
    <col min="14338" max="14338" width="22.5546875" style="1" customWidth="1"/>
    <col min="14339" max="14350" width="7.5546875" style="1" bestFit="1" customWidth="1"/>
    <col min="14351" max="14353" width="9.88671875" style="1" customWidth="1"/>
    <col min="14354" max="14592" width="11" style="1"/>
    <col min="14593" max="14593" width="3" style="1" customWidth="1"/>
    <col min="14594" max="14594" width="22.5546875" style="1" customWidth="1"/>
    <col min="14595" max="14606" width="7.5546875" style="1" bestFit="1" customWidth="1"/>
    <col min="14607" max="14609" width="9.88671875" style="1" customWidth="1"/>
    <col min="14610" max="14848" width="11" style="1"/>
    <col min="14849" max="14849" width="3" style="1" customWidth="1"/>
    <col min="14850" max="14850" width="22.5546875" style="1" customWidth="1"/>
    <col min="14851" max="14862" width="7.5546875" style="1" bestFit="1" customWidth="1"/>
    <col min="14863" max="14865" width="9.88671875" style="1" customWidth="1"/>
    <col min="14866" max="15104" width="11" style="1"/>
    <col min="15105" max="15105" width="3" style="1" customWidth="1"/>
    <col min="15106" max="15106" width="22.5546875" style="1" customWidth="1"/>
    <col min="15107" max="15118" width="7.5546875" style="1" bestFit="1" customWidth="1"/>
    <col min="15119" max="15121" width="9.88671875" style="1" customWidth="1"/>
    <col min="15122" max="15360" width="11" style="1"/>
    <col min="15361" max="15361" width="3" style="1" customWidth="1"/>
    <col min="15362" max="15362" width="22.5546875" style="1" customWidth="1"/>
    <col min="15363" max="15374" width="7.5546875" style="1" bestFit="1" customWidth="1"/>
    <col min="15375" max="15377" width="9.88671875" style="1" customWidth="1"/>
    <col min="15378" max="15616" width="11" style="1"/>
    <col min="15617" max="15617" width="3" style="1" customWidth="1"/>
    <col min="15618" max="15618" width="22.5546875" style="1" customWidth="1"/>
    <col min="15619" max="15630" width="7.5546875" style="1" bestFit="1" customWidth="1"/>
    <col min="15631" max="15633" width="9.88671875" style="1" customWidth="1"/>
    <col min="15634" max="15872" width="11" style="1"/>
    <col min="15873" max="15873" width="3" style="1" customWidth="1"/>
    <col min="15874" max="15874" width="22.5546875" style="1" customWidth="1"/>
    <col min="15875" max="15886" width="7.5546875" style="1" bestFit="1" customWidth="1"/>
    <col min="15887" max="15889" width="9.88671875" style="1" customWidth="1"/>
    <col min="15890" max="16128" width="11" style="1"/>
    <col min="16129" max="16129" width="3" style="1" customWidth="1"/>
    <col min="16130" max="16130" width="22.5546875" style="1" customWidth="1"/>
    <col min="16131" max="16142" width="7.5546875" style="1" bestFit="1" customWidth="1"/>
    <col min="16143" max="16145" width="9.88671875" style="1" customWidth="1"/>
    <col min="16146" max="16384" width="11" style="1"/>
  </cols>
  <sheetData>
    <row r="1" spans="1:19" s="110" customFormat="1" ht="18" x14ac:dyDescent="0.35">
      <c r="A1" s="438" t="s">
        <v>81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40"/>
    </row>
    <row r="2" spans="1:19" ht="12.9" customHeight="1" x14ac:dyDescent="0.15">
      <c r="A2" s="408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10"/>
    </row>
    <row r="3" spans="1:19" ht="12.9" customHeight="1" thickBot="1" x14ac:dyDescent="0.3">
      <c r="A3" s="411" t="s">
        <v>1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3"/>
    </row>
    <row r="4" spans="1:19" s="71" customFormat="1" ht="9.9" customHeight="1" thickTop="1" x14ac:dyDescent="0.2">
      <c r="A4" s="430" t="s">
        <v>2</v>
      </c>
      <c r="B4" s="432" t="s">
        <v>3</v>
      </c>
      <c r="C4" s="441" t="s">
        <v>82</v>
      </c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2"/>
    </row>
    <row r="5" spans="1:19" s="71" customFormat="1" ht="9.9" customHeight="1" x14ac:dyDescent="0.2">
      <c r="A5" s="431"/>
      <c r="B5" s="433"/>
      <c r="C5" s="111" t="s">
        <v>5</v>
      </c>
      <c r="D5" s="111" t="s">
        <v>6</v>
      </c>
      <c r="E5" s="111" t="s">
        <v>7</v>
      </c>
      <c r="F5" s="111" t="s">
        <v>8</v>
      </c>
      <c r="G5" s="111" t="s">
        <v>9</v>
      </c>
      <c r="H5" s="111" t="s">
        <v>10</v>
      </c>
      <c r="I5" s="111" t="s">
        <v>11</v>
      </c>
      <c r="J5" s="111" t="s">
        <v>12</v>
      </c>
      <c r="K5" s="111" t="s">
        <v>13</v>
      </c>
      <c r="L5" s="111" t="s">
        <v>14</v>
      </c>
      <c r="M5" s="111" t="s">
        <v>15</v>
      </c>
      <c r="N5" s="112" t="s">
        <v>16</v>
      </c>
    </row>
    <row r="6" spans="1:19" s="71" customFormat="1" ht="9.6" customHeight="1" x14ac:dyDescent="0.2">
      <c r="A6" s="113">
        <v>1</v>
      </c>
      <c r="B6" s="114" t="s">
        <v>17</v>
      </c>
      <c r="C6" s="76">
        <v>27610.799999999999</v>
      </c>
      <c r="D6" s="76">
        <v>27610.799999999999</v>
      </c>
      <c r="E6" s="76">
        <v>33059.800000000003</v>
      </c>
      <c r="F6" s="76">
        <v>33059.800000000003</v>
      </c>
      <c r="G6" s="76">
        <v>33059.800000000003</v>
      </c>
      <c r="H6" s="76">
        <v>41106.6</v>
      </c>
      <c r="I6" s="76">
        <v>41106.6</v>
      </c>
      <c r="J6" s="76">
        <v>41106.6</v>
      </c>
      <c r="K6" s="76">
        <v>41106.6</v>
      </c>
      <c r="L6" s="76">
        <v>41106.5</v>
      </c>
      <c r="M6" s="76">
        <v>41106.5</v>
      </c>
      <c r="N6" s="77">
        <v>41106.5</v>
      </c>
    </row>
    <row r="7" spans="1:19" s="82" customFormat="1" ht="9.6" customHeight="1" x14ac:dyDescent="0.2">
      <c r="A7" s="115"/>
      <c r="B7" s="116" t="s">
        <v>18</v>
      </c>
      <c r="C7" s="80">
        <v>24675</v>
      </c>
      <c r="D7" s="80">
        <v>24354.3</v>
      </c>
      <c r="E7" s="80">
        <v>30080.1</v>
      </c>
      <c r="F7" s="80">
        <v>30365.200000000001</v>
      </c>
      <c r="G7" s="80">
        <v>30424</v>
      </c>
      <c r="H7" s="80">
        <v>38387.800000000003</v>
      </c>
      <c r="I7" s="80">
        <v>38107.1</v>
      </c>
      <c r="J7" s="80">
        <v>37873.1</v>
      </c>
      <c r="K7" s="80">
        <v>38235.199999999997</v>
      </c>
      <c r="L7" s="80">
        <v>38310.199999999997</v>
      </c>
      <c r="M7" s="80">
        <v>38267.1</v>
      </c>
      <c r="N7" s="81">
        <v>38293.699999999997</v>
      </c>
      <c r="S7" s="83"/>
    </row>
    <row r="8" spans="1:19" s="89" customFormat="1" ht="9.6" customHeight="1" x14ac:dyDescent="0.2">
      <c r="A8" s="117"/>
      <c r="B8" s="118" t="s">
        <v>19</v>
      </c>
      <c r="C8" s="86">
        <v>3054.7</v>
      </c>
      <c r="D8" s="86">
        <v>2592.5</v>
      </c>
      <c r="E8" s="86">
        <v>9697.1</v>
      </c>
      <c r="F8" s="86">
        <v>5687.4</v>
      </c>
      <c r="G8" s="86">
        <v>5297.3</v>
      </c>
      <c r="H8" s="86">
        <v>10087.1</v>
      </c>
      <c r="I8" s="86">
        <v>12943.1</v>
      </c>
      <c r="J8" s="86">
        <v>14498.1</v>
      </c>
      <c r="K8" s="86">
        <v>14231</v>
      </c>
      <c r="L8" s="86">
        <v>16270</v>
      </c>
      <c r="M8" s="86">
        <v>14149</v>
      </c>
      <c r="N8" s="106">
        <v>15263.9</v>
      </c>
      <c r="S8" s="90"/>
    </row>
    <row r="9" spans="1:19" s="89" customFormat="1" ht="9.6" customHeight="1" x14ac:dyDescent="0.2">
      <c r="A9" s="117"/>
      <c r="B9" s="118" t="s">
        <v>23</v>
      </c>
      <c r="C9" s="86">
        <v>21620.3</v>
      </c>
      <c r="D9" s="86">
        <v>21761.8</v>
      </c>
      <c r="E9" s="86">
        <v>20383</v>
      </c>
      <c r="F9" s="86">
        <v>24677.8</v>
      </c>
      <c r="G9" s="86">
        <v>25126.7</v>
      </c>
      <c r="H9" s="86">
        <v>28300.7</v>
      </c>
      <c r="I9" s="86">
        <v>25164</v>
      </c>
      <c r="J9" s="86">
        <v>23375</v>
      </c>
      <c r="K9" s="86">
        <v>24004.2</v>
      </c>
      <c r="L9" s="86">
        <v>22040.2</v>
      </c>
      <c r="M9" s="86">
        <v>24118.1</v>
      </c>
      <c r="N9" s="106">
        <v>23029.8</v>
      </c>
    </row>
    <row r="10" spans="1:19" s="82" customFormat="1" ht="9.6" customHeight="1" x14ac:dyDescent="0.2">
      <c r="A10" s="115"/>
      <c r="B10" s="116" t="s">
        <v>24</v>
      </c>
      <c r="C10" s="107">
        <v>2935.8</v>
      </c>
      <c r="D10" s="107">
        <v>3256.5</v>
      </c>
      <c r="E10" s="107">
        <v>2979.7</v>
      </c>
      <c r="F10" s="107">
        <v>2694.6</v>
      </c>
      <c r="G10" s="107">
        <v>2635.8</v>
      </c>
      <c r="H10" s="107">
        <v>2718.8</v>
      </c>
      <c r="I10" s="107">
        <v>2999.5</v>
      </c>
      <c r="J10" s="107">
        <v>3233.5</v>
      </c>
      <c r="K10" s="107">
        <v>2871.4</v>
      </c>
      <c r="L10" s="107">
        <v>2796.3</v>
      </c>
      <c r="M10" s="107">
        <v>2839.4</v>
      </c>
      <c r="N10" s="108">
        <v>2812.8</v>
      </c>
      <c r="S10" s="83"/>
    </row>
    <row r="11" spans="1:19" s="89" customFormat="1" ht="9.6" customHeight="1" x14ac:dyDescent="0.2">
      <c r="A11" s="117"/>
      <c r="B11" s="118" t="s">
        <v>25</v>
      </c>
      <c r="C11" s="87">
        <v>2398.3000000000002</v>
      </c>
      <c r="D11" s="87">
        <v>2469</v>
      </c>
      <c r="E11" s="87">
        <v>2075.6999999999998</v>
      </c>
      <c r="F11" s="87">
        <v>1895.7</v>
      </c>
      <c r="G11" s="87">
        <v>1925</v>
      </c>
      <c r="H11" s="87">
        <v>1612.1</v>
      </c>
      <c r="I11" s="87">
        <v>1582.1</v>
      </c>
      <c r="J11" s="87">
        <v>1492.1</v>
      </c>
      <c r="K11" s="87">
        <v>1300</v>
      </c>
      <c r="L11" s="87">
        <v>1200</v>
      </c>
      <c r="M11" s="87">
        <v>1370.6</v>
      </c>
      <c r="N11" s="88">
        <v>1469.4</v>
      </c>
      <c r="S11" s="90"/>
    </row>
    <row r="12" spans="1:19" s="71" customFormat="1" ht="9.6" customHeight="1" x14ac:dyDescent="0.2">
      <c r="A12" s="113">
        <v>2</v>
      </c>
      <c r="B12" s="114" t="s">
        <v>26</v>
      </c>
      <c r="C12" s="76">
        <v>5962.2</v>
      </c>
      <c r="D12" s="76">
        <v>5718.6</v>
      </c>
      <c r="E12" s="76">
        <v>5718.6</v>
      </c>
      <c r="F12" s="76">
        <v>5718.7</v>
      </c>
      <c r="G12" s="76">
        <v>5718.6</v>
      </c>
      <c r="H12" s="76">
        <v>6800.7</v>
      </c>
      <c r="I12" s="76">
        <v>6800.7</v>
      </c>
      <c r="J12" s="76">
        <v>6800.7</v>
      </c>
      <c r="K12" s="76">
        <v>8050.7</v>
      </c>
      <c r="L12" s="76">
        <v>9590.6</v>
      </c>
      <c r="M12" s="76">
        <v>9590.6</v>
      </c>
      <c r="N12" s="77">
        <v>11090.7</v>
      </c>
      <c r="S12" s="91"/>
    </row>
    <row r="13" spans="1:19" s="82" customFormat="1" ht="9.6" customHeight="1" x14ac:dyDescent="0.2">
      <c r="A13" s="115"/>
      <c r="B13" s="116" t="s">
        <v>18</v>
      </c>
      <c r="C13" s="80">
        <v>4521.6000000000004</v>
      </c>
      <c r="D13" s="80">
        <v>4278</v>
      </c>
      <c r="E13" s="80">
        <v>4265.1000000000004</v>
      </c>
      <c r="F13" s="80">
        <v>4137.1000000000004</v>
      </c>
      <c r="G13" s="80">
        <v>4071.1</v>
      </c>
      <c r="H13" s="80">
        <v>4251.2</v>
      </c>
      <c r="I13" s="80">
        <v>4251.2</v>
      </c>
      <c r="J13" s="80">
        <v>4098</v>
      </c>
      <c r="K13" s="80">
        <v>5325.9</v>
      </c>
      <c r="L13" s="80">
        <v>6387</v>
      </c>
      <c r="M13" s="80">
        <v>6387</v>
      </c>
      <c r="N13" s="81">
        <v>7692.8</v>
      </c>
      <c r="P13" s="83"/>
      <c r="Q13" s="83"/>
      <c r="S13" s="83"/>
    </row>
    <row r="14" spans="1:19" s="89" customFormat="1" ht="9.6" customHeight="1" x14ac:dyDescent="0.2">
      <c r="A14" s="117"/>
      <c r="B14" s="118" t="s">
        <v>53</v>
      </c>
      <c r="C14" s="86">
        <v>2272.1999999999998</v>
      </c>
      <c r="D14" s="86">
        <v>2028.6</v>
      </c>
      <c r="E14" s="86">
        <v>2015.7</v>
      </c>
      <c r="F14" s="86">
        <v>1887.7</v>
      </c>
      <c r="G14" s="86">
        <v>1821.7</v>
      </c>
      <c r="H14" s="86">
        <v>2001.8</v>
      </c>
      <c r="I14" s="86">
        <v>2001.8</v>
      </c>
      <c r="J14" s="86">
        <v>1848.6</v>
      </c>
      <c r="K14" s="86">
        <v>1925.5</v>
      </c>
      <c r="L14" s="86">
        <v>2221.1999999999998</v>
      </c>
      <c r="M14" s="86">
        <v>2221.1999999999998</v>
      </c>
      <c r="N14" s="106">
        <v>2266.1999999999998</v>
      </c>
      <c r="P14" s="90"/>
      <c r="Q14" s="90"/>
      <c r="S14" s="90"/>
    </row>
    <row r="15" spans="1:19" s="89" customFormat="1" ht="9.6" customHeight="1" x14ac:dyDescent="0.2">
      <c r="A15" s="117"/>
      <c r="B15" s="118" t="s">
        <v>23</v>
      </c>
      <c r="C15" s="86">
        <v>2249.4</v>
      </c>
      <c r="D15" s="86">
        <v>2249.4</v>
      </c>
      <c r="E15" s="86">
        <v>2249.4</v>
      </c>
      <c r="F15" s="86">
        <v>2249.4</v>
      </c>
      <c r="G15" s="86">
        <v>2249.4</v>
      </c>
      <c r="H15" s="86">
        <v>2249.4</v>
      </c>
      <c r="I15" s="86">
        <v>2249.4</v>
      </c>
      <c r="J15" s="86">
        <v>2249.4</v>
      </c>
      <c r="K15" s="86">
        <v>3400.4</v>
      </c>
      <c r="L15" s="86">
        <v>4165.8</v>
      </c>
      <c r="M15" s="86">
        <v>4165.8</v>
      </c>
      <c r="N15" s="106">
        <v>5426.6</v>
      </c>
      <c r="S15" s="90"/>
    </row>
    <row r="16" spans="1:19" s="82" customFormat="1" ht="9.6" customHeight="1" x14ac:dyDescent="0.2">
      <c r="A16" s="115"/>
      <c r="B16" s="116" t="s">
        <v>54</v>
      </c>
      <c r="C16" s="107">
        <v>1440.6</v>
      </c>
      <c r="D16" s="107">
        <v>1440.6</v>
      </c>
      <c r="E16" s="107">
        <v>1453.5</v>
      </c>
      <c r="F16" s="107">
        <v>1581.6</v>
      </c>
      <c r="G16" s="107">
        <v>1647.5</v>
      </c>
      <c r="H16" s="107">
        <v>2549.5</v>
      </c>
      <c r="I16" s="107">
        <v>2549.5</v>
      </c>
      <c r="J16" s="107">
        <v>2702.7</v>
      </c>
      <c r="K16" s="107">
        <v>2724.8</v>
      </c>
      <c r="L16" s="107">
        <v>3203.6</v>
      </c>
      <c r="M16" s="107">
        <v>3203.6</v>
      </c>
      <c r="N16" s="108">
        <v>3397.9</v>
      </c>
      <c r="P16" s="83"/>
      <c r="Q16" s="83"/>
      <c r="S16" s="83"/>
    </row>
    <row r="17" spans="1:19" s="71" customFormat="1" ht="9.6" customHeight="1" x14ac:dyDescent="0.2">
      <c r="A17" s="113">
        <v>3</v>
      </c>
      <c r="B17" s="114" t="s">
        <v>83</v>
      </c>
      <c r="C17" s="76">
        <v>12476.4</v>
      </c>
      <c r="D17" s="76">
        <v>12476.4</v>
      </c>
      <c r="E17" s="76">
        <v>12476.4</v>
      </c>
      <c r="F17" s="76">
        <v>12476.4</v>
      </c>
      <c r="G17" s="76">
        <v>12476.4</v>
      </c>
      <c r="H17" s="76">
        <v>12476.4</v>
      </c>
      <c r="I17" s="76">
        <v>12376.4</v>
      </c>
      <c r="J17" s="76">
        <v>12376.4</v>
      </c>
      <c r="K17" s="76">
        <v>12376.4</v>
      </c>
      <c r="L17" s="76">
        <v>12316.4</v>
      </c>
      <c r="M17" s="76">
        <v>12316.4</v>
      </c>
      <c r="N17" s="77">
        <v>11536.3</v>
      </c>
      <c r="P17" s="91"/>
      <c r="Q17" s="91"/>
      <c r="S17" s="91"/>
    </row>
    <row r="18" spans="1:19" s="82" customFormat="1" ht="9.6" customHeight="1" x14ac:dyDescent="0.2">
      <c r="A18" s="115"/>
      <c r="B18" s="116" t="s">
        <v>18</v>
      </c>
      <c r="C18" s="80">
        <v>154.5</v>
      </c>
      <c r="D18" s="80">
        <v>154.5</v>
      </c>
      <c r="E18" s="80">
        <v>154.5</v>
      </c>
      <c r="F18" s="80">
        <v>154.5</v>
      </c>
      <c r="G18" s="80">
        <v>154.5</v>
      </c>
      <c r="H18" s="80">
        <v>154.5</v>
      </c>
      <c r="I18" s="80">
        <v>154.5</v>
      </c>
      <c r="J18" s="80">
        <v>154.5</v>
      </c>
      <c r="K18" s="80">
        <v>154.5</v>
      </c>
      <c r="L18" s="80">
        <v>120.1</v>
      </c>
      <c r="M18" s="80">
        <v>120.1</v>
      </c>
      <c r="N18" s="81">
        <v>138.5</v>
      </c>
      <c r="S18" s="83"/>
    </row>
    <row r="19" spans="1:19" s="89" customFormat="1" ht="9.6" customHeight="1" x14ac:dyDescent="0.2">
      <c r="A19" s="117"/>
      <c r="B19" s="118" t="s">
        <v>19</v>
      </c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106">
        <v>20.7</v>
      </c>
      <c r="S19" s="90"/>
    </row>
    <row r="20" spans="1:19" s="89" customFormat="1" ht="9.6" customHeight="1" x14ac:dyDescent="0.2">
      <c r="A20" s="117"/>
      <c r="B20" s="118" t="s">
        <v>23</v>
      </c>
      <c r="C20" s="86">
        <v>154.5</v>
      </c>
      <c r="D20" s="86">
        <v>154.5</v>
      </c>
      <c r="E20" s="86">
        <v>154.5</v>
      </c>
      <c r="F20" s="86">
        <v>154.5</v>
      </c>
      <c r="G20" s="86">
        <v>154.5</v>
      </c>
      <c r="H20" s="86">
        <v>154.5</v>
      </c>
      <c r="I20" s="86">
        <v>154.5</v>
      </c>
      <c r="J20" s="86">
        <v>154.5</v>
      </c>
      <c r="K20" s="86">
        <v>154.5</v>
      </c>
      <c r="L20" s="86">
        <v>120.1</v>
      </c>
      <c r="M20" s="86">
        <v>120.1</v>
      </c>
      <c r="N20" s="106">
        <v>117.8</v>
      </c>
      <c r="P20" s="90"/>
      <c r="Q20" s="90"/>
      <c r="S20" s="90"/>
    </row>
    <row r="21" spans="1:19" s="82" customFormat="1" ht="9.6" customHeight="1" x14ac:dyDescent="0.2">
      <c r="A21" s="115"/>
      <c r="B21" s="116" t="s">
        <v>55</v>
      </c>
      <c r="C21" s="107">
        <v>12321.9</v>
      </c>
      <c r="D21" s="107">
        <v>12321.9</v>
      </c>
      <c r="E21" s="107">
        <v>12321.9</v>
      </c>
      <c r="F21" s="107">
        <v>12321.9</v>
      </c>
      <c r="G21" s="107">
        <v>12321.9</v>
      </c>
      <c r="H21" s="107">
        <v>12321.9</v>
      </c>
      <c r="I21" s="107">
        <v>12221.9</v>
      </c>
      <c r="J21" s="107">
        <v>12221.9</v>
      </c>
      <c r="K21" s="107">
        <v>12221.9</v>
      </c>
      <c r="L21" s="107">
        <v>12196.3</v>
      </c>
      <c r="M21" s="107">
        <v>12196.3</v>
      </c>
      <c r="N21" s="108">
        <v>11397.8</v>
      </c>
      <c r="P21" s="83"/>
      <c r="Q21" s="83"/>
      <c r="S21" s="83"/>
    </row>
    <row r="22" spans="1:19" s="82" customFormat="1" ht="9.6" customHeight="1" x14ac:dyDescent="0.2">
      <c r="A22" s="113">
        <v>4</v>
      </c>
      <c r="B22" s="114" t="s">
        <v>84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  <c r="H22" s="76">
        <v>417.9</v>
      </c>
      <c r="I22" s="76">
        <v>417.9</v>
      </c>
      <c r="J22" s="76">
        <v>417.9</v>
      </c>
      <c r="K22" s="76">
        <v>628.1</v>
      </c>
      <c r="L22" s="76">
        <v>628.1</v>
      </c>
      <c r="M22" s="76">
        <v>628.1</v>
      </c>
      <c r="N22" s="77">
        <v>628.1</v>
      </c>
      <c r="P22" s="83"/>
      <c r="Q22" s="83"/>
      <c r="S22" s="83"/>
    </row>
    <row r="23" spans="1:19" s="82" customFormat="1" ht="9.6" customHeight="1" x14ac:dyDescent="0.2">
      <c r="A23" s="115"/>
      <c r="B23" s="116" t="s">
        <v>18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1.1000000000000001</v>
      </c>
      <c r="L23" s="80">
        <v>0.3</v>
      </c>
      <c r="M23" s="80">
        <v>4.8</v>
      </c>
      <c r="N23" s="81">
        <v>3.1</v>
      </c>
      <c r="P23" s="83"/>
      <c r="Q23" s="83"/>
      <c r="S23" s="83"/>
    </row>
    <row r="24" spans="1:19" s="89" customFormat="1" ht="9.6" customHeight="1" x14ac:dyDescent="0.2">
      <c r="A24" s="117"/>
      <c r="B24" s="118" t="s">
        <v>19</v>
      </c>
      <c r="C24" s="86">
        <v>0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  <c r="K24" s="86">
        <v>1.1000000000000001</v>
      </c>
      <c r="L24" s="86">
        <v>0.3</v>
      </c>
      <c r="M24" s="86">
        <v>4.8</v>
      </c>
      <c r="N24" s="106">
        <v>3.1</v>
      </c>
      <c r="P24" s="90"/>
      <c r="Q24" s="90"/>
      <c r="S24" s="90"/>
    </row>
    <row r="25" spans="1:19" s="82" customFormat="1" ht="9.6" customHeight="1" x14ac:dyDescent="0.2">
      <c r="A25" s="115"/>
      <c r="B25" s="116" t="s">
        <v>85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417.9</v>
      </c>
      <c r="I25" s="107">
        <v>417.9</v>
      </c>
      <c r="J25" s="107">
        <v>417.9</v>
      </c>
      <c r="K25" s="107">
        <v>627</v>
      </c>
      <c r="L25" s="107">
        <v>627.79999999999995</v>
      </c>
      <c r="M25" s="107">
        <v>623.29999999999995</v>
      </c>
      <c r="N25" s="108">
        <v>625</v>
      </c>
      <c r="P25" s="83"/>
      <c r="Q25" s="83"/>
      <c r="S25" s="83"/>
    </row>
    <row r="26" spans="1:19" s="71" customFormat="1" ht="9.6" customHeight="1" x14ac:dyDescent="0.2">
      <c r="A26" s="113">
        <v>4</v>
      </c>
      <c r="B26" s="114" t="s">
        <v>34</v>
      </c>
      <c r="C26" s="76">
        <v>13994.3</v>
      </c>
      <c r="D26" s="76">
        <v>13994.3</v>
      </c>
      <c r="E26" s="76">
        <v>8545.2999999999993</v>
      </c>
      <c r="F26" s="76">
        <v>8545.2999999999993</v>
      </c>
      <c r="G26" s="76">
        <v>8545.2999999999993</v>
      </c>
      <c r="H26" s="76">
        <v>8545.2999999999993</v>
      </c>
      <c r="I26" s="76">
        <v>8738</v>
      </c>
      <c r="J26" s="76">
        <v>8738</v>
      </c>
      <c r="K26" s="76">
        <v>8865.2000000000007</v>
      </c>
      <c r="L26" s="76">
        <v>8865.2000000000007</v>
      </c>
      <c r="M26" s="76">
        <v>8865.2000000000007</v>
      </c>
      <c r="N26" s="77">
        <v>9259.2999999999993</v>
      </c>
      <c r="S26" s="91"/>
    </row>
    <row r="27" spans="1:19" s="82" customFormat="1" ht="9.6" customHeight="1" x14ac:dyDescent="0.2">
      <c r="A27" s="115"/>
      <c r="B27" s="116" t="s">
        <v>18</v>
      </c>
      <c r="C27" s="80">
        <v>12520.8</v>
      </c>
      <c r="D27" s="80">
        <v>12520.8</v>
      </c>
      <c r="E27" s="80">
        <v>7071.8</v>
      </c>
      <c r="F27" s="80">
        <v>7071.8</v>
      </c>
      <c r="G27" s="80">
        <v>7071.8</v>
      </c>
      <c r="H27" s="80">
        <v>7071.8</v>
      </c>
      <c r="I27" s="80">
        <v>7071.8</v>
      </c>
      <c r="J27" s="80">
        <v>7071.8</v>
      </c>
      <c r="K27" s="80">
        <v>7071.8</v>
      </c>
      <c r="L27" s="80">
        <v>7071.8</v>
      </c>
      <c r="M27" s="80">
        <v>7071.8</v>
      </c>
      <c r="N27" s="81">
        <v>7355.4</v>
      </c>
      <c r="P27" s="83"/>
      <c r="Q27" s="83"/>
      <c r="S27" s="83"/>
    </row>
    <row r="28" spans="1:19" s="89" customFormat="1" ht="9.6" customHeight="1" x14ac:dyDescent="0.2">
      <c r="A28" s="117"/>
      <c r="B28" s="118" t="s">
        <v>56</v>
      </c>
      <c r="C28" s="87">
        <v>11733.8</v>
      </c>
      <c r="D28" s="87">
        <v>11733.8</v>
      </c>
      <c r="E28" s="87">
        <v>6284.8</v>
      </c>
      <c r="F28" s="87">
        <v>6284.8</v>
      </c>
      <c r="G28" s="87">
        <v>6284.8</v>
      </c>
      <c r="H28" s="87">
        <v>6284.8</v>
      </c>
      <c r="I28" s="87">
        <v>6284.8</v>
      </c>
      <c r="J28" s="87">
        <v>6284.8</v>
      </c>
      <c r="K28" s="87">
        <v>6284.8</v>
      </c>
      <c r="L28" s="87">
        <v>6284.8</v>
      </c>
      <c r="M28" s="87">
        <v>6284.8</v>
      </c>
      <c r="N28" s="88">
        <v>6568.4</v>
      </c>
      <c r="S28" s="90"/>
    </row>
    <row r="29" spans="1:19" s="89" customFormat="1" ht="9.6" customHeight="1" x14ac:dyDescent="0.2">
      <c r="A29" s="117"/>
      <c r="B29" s="118" t="s">
        <v>23</v>
      </c>
      <c r="C29" s="86">
        <v>787</v>
      </c>
      <c r="D29" s="86">
        <v>787</v>
      </c>
      <c r="E29" s="86">
        <v>787</v>
      </c>
      <c r="F29" s="86">
        <v>787</v>
      </c>
      <c r="G29" s="86">
        <v>787</v>
      </c>
      <c r="H29" s="86">
        <v>787</v>
      </c>
      <c r="I29" s="86">
        <v>787</v>
      </c>
      <c r="J29" s="86">
        <v>787</v>
      </c>
      <c r="K29" s="86">
        <v>787</v>
      </c>
      <c r="L29" s="86">
        <v>787</v>
      </c>
      <c r="M29" s="86">
        <v>787</v>
      </c>
      <c r="N29" s="88">
        <v>787</v>
      </c>
      <c r="S29" s="90"/>
    </row>
    <row r="30" spans="1:19" s="82" customFormat="1" ht="9.6" customHeight="1" x14ac:dyDescent="0.2">
      <c r="A30" s="115"/>
      <c r="B30" s="116" t="s">
        <v>36</v>
      </c>
      <c r="C30" s="107">
        <v>1473.5</v>
      </c>
      <c r="D30" s="107">
        <v>1473.5</v>
      </c>
      <c r="E30" s="107">
        <v>1473.5</v>
      </c>
      <c r="F30" s="107">
        <v>1473.5</v>
      </c>
      <c r="G30" s="107">
        <v>1473.5</v>
      </c>
      <c r="H30" s="107">
        <v>1473.5</v>
      </c>
      <c r="I30" s="107">
        <v>1666.2</v>
      </c>
      <c r="J30" s="107">
        <v>1666.2</v>
      </c>
      <c r="K30" s="107">
        <v>1793.4</v>
      </c>
      <c r="L30" s="107">
        <v>1793.4</v>
      </c>
      <c r="M30" s="107">
        <v>1793.4</v>
      </c>
      <c r="N30" s="81">
        <v>1903.9</v>
      </c>
      <c r="S30" s="83"/>
    </row>
    <row r="31" spans="1:19" s="71" customFormat="1" ht="9.6" customHeight="1" x14ac:dyDescent="0.2">
      <c r="A31" s="119">
        <v>5</v>
      </c>
      <c r="B31" s="114" t="s">
        <v>76</v>
      </c>
      <c r="C31" s="76">
        <v>6228.8</v>
      </c>
      <c r="D31" s="76">
        <v>5883.3</v>
      </c>
      <c r="E31" s="76">
        <v>8799</v>
      </c>
      <c r="F31" s="76">
        <v>9224.2000000000007</v>
      </c>
      <c r="G31" s="76">
        <v>9829.6</v>
      </c>
      <c r="H31" s="76">
        <v>-1053.0999999999999</v>
      </c>
      <c r="I31" s="76">
        <v>936.7</v>
      </c>
      <c r="J31" s="76">
        <v>794.9</v>
      </c>
      <c r="K31" s="76">
        <v>333.5</v>
      </c>
      <c r="L31" s="76">
        <v>442.1</v>
      </c>
      <c r="M31" s="76">
        <v>1988.7</v>
      </c>
      <c r="N31" s="77">
        <v>5898.3</v>
      </c>
      <c r="S31" s="91"/>
    </row>
    <row r="32" spans="1:19" s="82" customFormat="1" ht="9.6" customHeight="1" x14ac:dyDescent="0.2">
      <c r="A32" s="115"/>
      <c r="B32" s="116" t="s">
        <v>70</v>
      </c>
      <c r="C32" s="107">
        <v>6228.8</v>
      </c>
      <c r="D32" s="107">
        <v>5883.3</v>
      </c>
      <c r="E32" s="107">
        <v>8799</v>
      </c>
      <c r="F32" s="107">
        <v>9224.2000000000007</v>
      </c>
      <c r="G32" s="107">
        <v>9829.6</v>
      </c>
      <c r="H32" s="107">
        <v>-1053.0999999999999</v>
      </c>
      <c r="I32" s="107">
        <v>936.7</v>
      </c>
      <c r="J32" s="107">
        <v>794.9</v>
      </c>
      <c r="K32" s="107">
        <v>333.5</v>
      </c>
      <c r="L32" s="107">
        <v>442.1</v>
      </c>
      <c r="M32" s="107">
        <v>1988.7</v>
      </c>
      <c r="N32" s="108">
        <v>5898.3</v>
      </c>
      <c r="S32" s="83"/>
    </row>
    <row r="33" spans="1:19" s="71" customFormat="1" ht="9.6" customHeight="1" x14ac:dyDescent="0.2">
      <c r="A33" s="113">
        <v>6</v>
      </c>
      <c r="B33" s="114" t="s">
        <v>38</v>
      </c>
      <c r="C33" s="76">
        <v>66272.5</v>
      </c>
      <c r="D33" s="76">
        <v>65683.399999999994</v>
      </c>
      <c r="E33" s="76">
        <v>68599.100000000006</v>
      </c>
      <c r="F33" s="76">
        <v>69024.399999999994</v>
      </c>
      <c r="G33" s="76">
        <v>69629.7</v>
      </c>
      <c r="H33" s="76">
        <v>68293.8</v>
      </c>
      <c r="I33" s="76">
        <v>70376.3</v>
      </c>
      <c r="J33" s="76">
        <v>70234.5</v>
      </c>
      <c r="K33" s="76">
        <v>71360.5</v>
      </c>
      <c r="L33" s="76">
        <v>72948.899999999994</v>
      </c>
      <c r="M33" s="76">
        <v>74495.5</v>
      </c>
      <c r="N33" s="77">
        <v>79519.199999999997</v>
      </c>
      <c r="S33" s="91"/>
    </row>
    <row r="34" spans="1:19" s="82" customFormat="1" ht="9.6" customHeight="1" x14ac:dyDescent="0.2">
      <c r="A34" s="120"/>
      <c r="B34" s="116" t="s">
        <v>18</v>
      </c>
      <c r="C34" s="80">
        <v>48100.7</v>
      </c>
      <c r="D34" s="80">
        <v>47190.9</v>
      </c>
      <c r="E34" s="80">
        <v>50370.5</v>
      </c>
      <c r="F34" s="80">
        <v>50952.800000000003</v>
      </c>
      <c r="G34" s="80">
        <v>51551</v>
      </c>
      <c r="H34" s="80">
        <v>48812.2</v>
      </c>
      <c r="I34" s="80">
        <v>50521.3</v>
      </c>
      <c r="J34" s="80">
        <v>49992.3</v>
      </c>
      <c r="K34" s="80">
        <v>51122</v>
      </c>
      <c r="L34" s="80">
        <v>52331.5</v>
      </c>
      <c r="M34" s="80">
        <v>53839.5</v>
      </c>
      <c r="N34" s="81">
        <v>59381.8</v>
      </c>
      <c r="S34" s="83"/>
    </row>
    <row r="35" spans="1:19" s="89" customFormat="1" ht="9.6" customHeight="1" x14ac:dyDescent="0.2">
      <c r="A35" s="121"/>
      <c r="B35" s="118" t="s">
        <v>19</v>
      </c>
      <c r="C35" s="87">
        <v>23289.5</v>
      </c>
      <c r="D35" s="87">
        <v>22238.2</v>
      </c>
      <c r="E35" s="87">
        <v>26796.6</v>
      </c>
      <c r="F35" s="87">
        <v>23084.1</v>
      </c>
      <c r="G35" s="87">
        <v>23233.4</v>
      </c>
      <c r="H35" s="87">
        <v>17320.599999999999</v>
      </c>
      <c r="I35" s="87">
        <v>22166.400000000001</v>
      </c>
      <c r="J35" s="87">
        <v>23426.400000000001</v>
      </c>
      <c r="K35" s="87">
        <v>22775.9</v>
      </c>
      <c r="L35" s="87">
        <v>25218.400000000001</v>
      </c>
      <c r="M35" s="87">
        <v>24648.5</v>
      </c>
      <c r="N35" s="88">
        <v>30020.6</v>
      </c>
      <c r="S35" s="90"/>
    </row>
    <row r="36" spans="1:19" s="89" customFormat="1" ht="9.6" customHeight="1" x14ac:dyDescent="0.2">
      <c r="A36" s="121"/>
      <c r="B36" s="118" t="s">
        <v>23</v>
      </c>
      <c r="C36" s="87">
        <v>24811.200000000001</v>
      </c>
      <c r="D36" s="87">
        <v>24952.7</v>
      </c>
      <c r="E36" s="87">
        <v>23573.9</v>
      </c>
      <c r="F36" s="87">
        <v>27868.7</v>
      </c>
      <c r="G36" s="87">
        <v>28317.599999999999</v>
      </c>
      <c r="H36" s="87">
        <v>31491.599999999999</v>
      </c>
      <c r="I36" s="87">
        <v>28354.9</v>
      </c>
      <c r="J36" s="87">
        <v>26565.9</v>
      </c>
      <c r="K36" s="87">
        <v>28346.1</v>
      </c>
      <c r="L36" s="87">
        <v>27113.1</v>
      </c>
      <c r="M36" s="87">
        <v>29191</v>
      </c>
      <c r="N36" s="88">
        <v>29361.200000000001</v>
      </c>
      <c r="S36" s="90"/>
    </row>
    <row r="37" spans="1:19" s="82" customFormat="1" ht="9.6" customHeight="1" x14ac:dyDescent="0.2">
      <c r="A37" s="120"/>
      <c r="B37" s="116" t="s">
        <v>24</v>
      </c>
      <c r="C37" s="80">
        <v>18171.8</v>
      </c>
      <c r="D37" s="80">
        <v>18492.5</v>
      </c>
      <c r="E37" s="80">
        <v>18228.599999999999</v>
      </c>
      <c r="F37" s="80">
        <v>18071.599999999999</v>
      </c>
      <c r="G37" s="80">
        <v>18078.7</v>
      </c>
      <c r="H37" s="80">
        <v>19481.599999999999</v>
      </c>
      <c r="I37" s="80">
        <v>19855</v>
      </c>
      <c r="J37" s="80">
        <v>20242.2</v>
      </c>
      <c r="K37" s="80">
        <v>20238.5</v>
      </c>
      <c r="L37" s="80">
        <v>20617.400000000001</v>
      </c>
      <c r="M37" s="80">
        <v>20656</v>
      </c>
      <c r="N37" s="81">
        <v>20137.400000000001</v>
      </c>
      <c r="P37" s="83"/>
      <c r="Q37" s="83"/>
      <c r="S37" s="83"/>
    </row>
    <row r="38" spans="1:19" s="89" customFormat="1" ht="9.6" customHeight="1" thickBot="1" x14ac:dyDescent="0.25">
      <c r="A38" s="122"/>
      <c r="B38" s="123" t="s">
        <v>25</v>
      </c>
      <c r="C38" s="97">
        <v>2398.3000000000002</v>
      </c>
      <c r="D38" s="97">
        <v>2469</v>
      </c>
      <c r="E38" s="97">
        <v>2075.6999999999998</v>
      </c>
      <c r="F38" s="97">
        <v>1895.7</v>
      </c>
      <c r="G38" s="97">
        <v>1925</v>
      </c>
      <c r="H38" s="97">
        <v>1612.1</v>
      </c>
      <c r="I38" s="97">
        <v>1582.1</v>
      </c>
      <c r="J38" s="97">
        <v>1492.1</v>
      </c>
      <c r="K38" s="97">
        <v>1300</v>
      </c>
      <c r="L38" s="97">
        <v>1200</v>
      </c>
      <c r="M38" s="97">
        <v>1370.6</v>
      </c>
      <c r="N38" s="98">
        <v>1469.4</v>
      </c>
      <c r="P38" s="90"/>
      <c r="Q38" s="90"/>
      <c r="S38" s="90"/>
    </row>
    <row r="39" spans="1:19" s="82" customFormat="1" ht="9.9" customHeight="1" thickTop="1" x14ac:dyDescent="0.2">
      <c r="A39" s="99" t="s">
        <v>21</v>
      </c>
      <c r="B39" s="100" t="s">
        <v>58</v>
      </c>
      <c r="D39" s="83"/>
      <c r="E39" s="83"/>
      <c r="G39" s="83"/>
      <c r="H39" s="83"/>
      <c r="I39" s="83"/>
      <c r="J39" s="83"/>
      <c r="K39" s="83"/>
      <c r="L39" s="83"/>
      <c r="M39" s="83"/>
      <c r="N39" s="83"/>
      <c r="P39" s="83"/>
      <c r="Q39" s="83"/>
      <c r="S39" s="83"/>
    </row>
    <row r="40" spans="1:19" s="82" customFormat="1" ht="9.9" customHeight="1" x14ac:dyDescent="0.2">
      <c r="A40" s="99" t="s">
        <v>59</v>
      </c>
      <c r="B40" s="100" t="s">
        <v>86</v>
      </c>
      <c r="P40" s="83"/>
      <c r="Q40" s="83"/>
      <c r="S40" s="83"/>
    </row>
    <row r="41" spans="1:19" s="82" customFormat="1" ht="9.9" customHeight="1" x14ac:dyDescent="0.2">
      <c r="A41" s="99" t="s">
        <v>61</v>
      </c>
      <c r="B41" s="100" t="s">
        <v>87</v>
      </c>
      <c r="D41" s="83"/>
    </row>
    <row r="42" spans="1:19" s="82" customFormat="1" ht="9.9" customHeight="1" x14ac:dyDescent="0.2">
      <c r="A42" s="101" t="s">
        <v>63</v>
      </c>
      <c r="B42" s="100" t="s">
        <v>79</v>
      </c>
      <c r="S42" s="83"/>
    </row>
    <row r="43" spans="1:19" s="82" customFormat="1" ht="9.9" customHeight="1" x14ac:dyDescent="0.2">
      <c r="A43" s="99"/>
      <c r="B43" s="100" t="s">
        <v>65</v>
      </c>
    </row>
    <row r="44" spans="1:19" s="82" customFormat="1" ht="9.9" customHeight="1" x14ac:dyDescent="0.2">
      <c r="A44" s="99"/>
      <c r="B44" s="100" t="s">
        <v>66</v>
      </c>
    </row>
    <row r="45" spans="1:19" s="82" customFormat="1" ht="9.9" customHeight="1" x14ac:dyDescent="0.2">
      <c r="A45" s="99" t="s">
        <v>30</v>
      </c>
      <c r="B45" s="100" t="s">
        <v>88</v>
      </c>
    </row>
    <row r="46" spans="1:19" s="82" customFormat="1" ht="9.9" customHeight="1" x14ac:dyDescent="0.2">
      <c r="A46" s="99"/>
      <c r="B46" s="100" t="s">
        <v>89</v>
      </c>
    </row>
    <row r="47" spans="1:19" s="89" customFormat="1" ht="9.9" customHeight="1" x14ac:dyDescent="0.2">
      <c r="A47" s="109" t="s">
        <v>67</v>
      </c>
    </row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activeCell="M28" sqref="M28"/>
    </sheetView>
  </sheetViews>
  <sheetFormatPr defaultColWidth="11" defaultRowHeight="7.2" x14ac:dyDescent="0.15"/>
  <cols>
    <col min="1" max="1" width="3.109375" style="70" customWidth="1"/>
    <col min="2" max="2" width="21.88671875" style="1" customWidth="1"/>
    <col min="3" max="14" width="7.5546875" style="1" bestFit="1" customWidth="1"/>
    <col min="15" max="17" width="9.88671875" style="1" customWidth="1"/>
    <col min="18" max="256" width="11" style="1"/>
    <col min="257" max="257" width="3.109375" style="1" customWidth="1"/>
    <col min="258" max="258" width="21.88671875" style="1" customWidth="1"/>
    <col min="259" max="270" width="7.5546875" style="1" bestFit="1" customWidth="1"/>
    <col min="271" max="273" width="9.88671875" style="1" customWidth="1"/>
    <col min="274" max="512" width="11" style="1"/>
    <col min="513" max="513" width="3.109375" style="1" customWidth="1"/>
    <col min="514" max="514" width="21.88671875" style="1" customWidth="1"/>
    <col min="515" max="526" width="7.5546875" style="1" bestFit="1" customWidth="1"/>
    <col min="527" max="529" width="9.88671875" style="1" customWidth="1"/>
    <col min="530" max="768" width="11" style="1"/>
    <col min="769" max="769" width="3.109375" style="1" customWidth="1"/>
    <col min="770" max="770" width="21.88671875" style="1" customWidth="1"/>
    <col min="771" max="782" width="7.5546875" style="1" bestFit="1" customWidth="1"/>
    <col min="783" max="785" width="9.88671875" style="1" customWidth="1"/>
    <col min="786" max="1024" width="11" style="1"/>
    <col min="1025" max="1025" width="3.109375" style="1" customWidth="1"/>
    <col min="1026" max="1026" width="21.88671875" style="1" customWidth="1"/>
    <col min="1027" max="1038" width="7.5546875" style="1" bestFit="1" customWidth="1"/>
    <col min="1039" max="1041" width="9.88671875" style="1" customWidth="1"/>
    <col min="1042" max="1280" width="11" style="1"/>
    <col min="1281" max="1281" width="3.109375" style="1" customWidth="1"/>
    <col min="1282" max="1282" width="21.88671875" style="1" customWidth="1"/>
    <col min="1283" max="1294" width="7.5546875" style="1" bestFit="1" customWidth="1"/>
    <col min="1295" max="1297" width="9.88671875" style="1" customWidth="1"/>
    <col min="1298" max="1536" width="11" style="1"/>
    <col min="1537" max="1537" width="3.109375" style="1" customWidth="1"/>
    <col min="1538" max="1538" width="21.88671875" style="1" customWidth="1"/>
    <col min="1539" max="1550" width="7.5546875" style="1" bestFit="1" customWidth="1"/>
    <col min="1551" max="1553" width="9.88671875" style="1" customWidth="1"/>
    <col min="1554" max="1792" width="11" style="1"/>
    <col min="1793" max="1793" width="3.109375" style="1" customWidth="1"/>
    <col min="1794" max="1794" width="21.88671875" style="1" customWidth="1"/>
    <col min="1795" max="1806" width="7.5546875" style="1" bestFit="1" customWidth="1"/>
    <col min="1807" max="1809" width="9.88671875" style="1" customWidth="1"/>
    <col min="1810" max="2048" width="11" style="1"/>
    <col min="2049" max="2049" width="3.109375" style="1" customWidth="1"/>
    <col min="2050" max="2050" width="21.88671875" style="1" customWidth="1"/>
    <col min="2051" max="2062" width="7.5546875" style="1" bestFit="1" customWidth="1"/>
    <col min="2063" max="2065" width="9.88671875" style="1" customWidth="1"/>
    <col min="2066" max="2304" width="11" style="1"/>
    <col min="2305" max="2305" width="3.109375" style="1" customWidth="1"/>
    <col min="2306" max="2306" width="21.88671875" style="1" customWidth="1"/>
    <col min="2307" max="2318" width="7.5546875" style="1" bestFit="1" customWidth="1"/>
    <col min="2319" max="2321" width="9.88671875" style="1" customWidth="1"/>
    <col min="2322" max="2560" width="11" style="1"/>
    <col min="2561" max="2561" width="3.109375" style="1" customWidth="1"/>
    <col min="2562" max="2562" width="21.88671875" style="1" customWidth="1"/>
    <col min="2563" max="2574" width="7.5546875" style="1" bestFit="1" customWidth="1"/>
    <col min="2575" max="2577" width="9.88671875" style="1" customWidth="1"/>
    <col min="2578" max="2816" width="11" style="1"/>
    <col min="2817" max="2817" width="3.109375" style="1" customWidth="1"/>
    <col min="2818" max="2818" width="21.88671875" style="1" customWidth="1"/>
    <col min="2819" max="2830" width="7.5546875" style="1" bestFit="1" customWidth="1"/>
    <col min="2831" max="2833" width="9.88671875" style="1" customWidth="1"/>
    <col min="2834" max="3072" width="11" style="1"/>
    <col min="3073" max="3073" width="3.109375" style="1" customWidth="1"/>
    <col min="3074" max="3074" width="21.88671875" style="1" customWidth="1"/>
    <col min="3075" max="3086" width="7.5546875" style="1" bestFit="1" customWidth="1"/>
    <col min="3087" max="3089" width="9.88671875" style="1" customWidth="1"/>
    <col min="3090" max="3328" width="11" style="1"/>
    <col min="3329" max="3329" width="3.109375" style="1" customWidth="1"/>
    <col min="3330" max="3330" width="21.88671875" style="1" customWidth="1"/>
    <col min="3331" max="3342" width="7.5546875" style="1" bestFit="1" customWidth="1"/>
    <col min="3343" max="3345" width="9.88671875" style="1" customWidth="1"/>
    <col min="3346" max="3584" width="11" style="1"/>
    <col min="3585" max="3585" width="3.109375" style="1" customWidth="1"/>
    <col min="3586" max="3586" width="21.88671875" style="1" customWidth="1"/>
    <col min="3587" max="3598" width="7.5546875" style="1" bestFit="1" customWidth="1"/>
    <col min="3599" max="3601" width="9.88671875" style="1" customWidth="1"/>
    <col min="3602" max="3840" width="11" style="1"/>
    <col min="3841" max="3841" width="3.109375" style="1" customWidth="1"/>
    <col min="3842" max="3842" width="21.88671875" style="1" customWidth="1"/>
    <col min="3843" max="3854" width="7.5546875" style="1" bestFit="1" customWidth="1"/>
    <col min="3855" max="3857" width="9.88671875" style="1" customWidth="1"/>
    <col min="3858" max="4096" width="11" style="1"/>
    <col min="4097" max="4097" width="3.109375" style="1" customWidth="1"/>
    <col min="4098" max="4098" width="21.88671875" style="1" customWidth="1"/>
    <col min="4099" max="4110" width="7.5546875" style="1" bestFit="1" customWidth="1"/>
    <col min="4111" max="4113" width="9.88671875" style="1" customWidth="1"/>
    <col min="4114" max="4352" width="11" style="1"/>
    <col min="4353" max="4353" width="3.109375" style="1" customWidth="1"/>
    <col min="4354" max="4354" width="21.88671875" style="1" customWidth="1"/>
    <col min="4355" max="4366" width="7.5546875" style="1" bestFit="1" customWidth="1"/>
    <col min="4367" max="4369" width="9.88671875" style="1" customWidth="1"/>
    <col min="4370" max="4608" width="11" style="1"/>
    <col min="4609" max="4609" width="3.109375" style="1" customWidth="1"/>
    <col min="4610" max="4610" width="21.88671875" style="1" customWidth="1"/>
    <col min="4611" max="4622" width="7.5546875" style="1" bestFit="1" customWidth="1"/>
    <col min="4623" max="4625" width="9.88671875" style="1" customWidth="1"/>
    <col min="4626" max="4864" width="11" style="1"/>
    <col min="4865" max="4865" width="3.109375" style="1" customWidth="1"/>
    <col min="4866" max="4866" width="21.88671875" style="1" customWidth="1"/>
    <col min="4867" max="4878" width="7.5546875" style="1" bestFit="1" customWidth="1"/>
    <col min="4879" max="4881" width="9.88671875" style="1" customWidth="1"/>
    <col min="4882" max="5120" width="11" style="1"/>
    <col min="5121" max="5121" width="3.109375" style="1" customWidth="1"/>
    <col min="5122" max="5122" width="21.88671875" style="1" customWidth="1"/>
    <col min="5123" max="5134" width="7.5546875" style="1" bestFit="1" customWidth="1"/>
    <col min="5135" max="5137" width="9.88671875" style="1" customWidth="1"/>
    <col min="5138" max="5376" width="11" style="1"/>
    <col min="5377" max="5377" width="3.109375" style="1" customWidth="1"/>
    <col min="5378" max="5378" width="21.88671875" style="1" customWidth="1"/>
    <col min="5379" max="5390" width="7.5546875" style="1" bestFit="1" customWidth="1"/>
    <col min="5391" max="5393" width="9.88671875" style="1" customWidth="1"/>
    <col min="5394" max="5632" width="11" style="1"/>
    <col min="5633" max="5633" width="3.109375" style="1" customWidth="1"/>
    <col min="5634" max="5634" width="21.88671875" style="1" customWidth="1"/>
    <col min="5635" max="5646" width="7.5546875" style="1" bestFit="1" customWidth="1"/>
    <col min="5647" max="5649" width="9.88671875" style="1" customWidth="1"/>
    <col min="5650" max="5888" width="11" style="1"/>
    <col min="5889" max="5889" width="3.109375" style="1" customWidth="1"/>
    <col min="5890" max="5890" width="21.88671875" style="1" customWidth="1"/>
    <col min="5891" max="5902" width="7.5546875" style="1" bestFit="1" customWidth="1"/>
    <col min="5903" max="5905" width="9.88671875" style="1" customWidth="1"/>
    <col min="5906" max="6144" width="11" style="1"/>
    <col min="6145" max="6145" width="3.109375" style="1" customWidth="1"/>
    <col min="6146" max="6146" width="21.88671875" style="1" customWidth="1"/>
    <col min="6147" max="6158" width="7.5546875" style="1" bestFit="1" customWidth="1"/>
    <col min="6159" max="6161" width="9.88671875" style="1" customWidth="1"/>
    <col min="6162" max="6400" width="11" style="1"/>
    <col min="6401" max="6401" width="3.109375" style="1" customWidth="1"/>
    <col min="6402" max="6402" width="21.88671875" style="1" customWidth="1"/>
    <col min="6403" max="6414" width="7.5546875" style="1" bestFit="1" customWidth="1"/>
    <col min="6415" max="6417" width="9.88671875" style="1" customWidth="1"/>
    <col min="6418" max="6656" width="11" style="1"/>
    <col min="6657" max="6657" width="3.109375" style="1" customWidth="1"/>
    <col min="6658" max="6658" width="21.88671875" style="1" customWidth="1"/>
    <col min="6659" max="6670" width="7.5546875" style="1" bestFit="1" customWidth="1"/>
    <col min="6671" max="6673" width="9.88671875" style="1" customWidth="1"/>
    <col min="6674" max="6912" width="11" style="1"/>
    <col min="6913" max="6913" width="3.109375" style="1" customWidth="1"/>
    <col min="6914" max="6914" width="21.88671875" style="1" customWidth="1"/>
    <col min="6915" max="6926" width="7.5546875" style="1" bestFit="1" customWidth="1"/>
    <col min="6927" max="6929" width="9.88671875" style="1" customWidth="1"/>
    <col min="6930" max="7168" width="11" style="1"/>
    <col min="7169" max="7169" width="3.109375" style="1" customWidth="1"/>
    <col min="7170" max="7170" width="21.88671875" style="1" customWidth="1"/>
    <col min="7171" max="7182" width="7.5546875" style="1" bestFit="1" customWidth="1"/>
    <col min="7183" max="7185" width="9.88671875" style="1" customWidth="1"/>
    <col min="7186" max="7424" width="11" style="1"/>
    <col min="7425" max="7425" width="3.109375" style="1" customWidth="1"/>
    <col min="7426" max="7426" width="21.88671875" style="1" customWidth="1"/>
    <col min="7427" max="7438" width="7.5546875" style="1" bestFit="1" customWidth="1"/>
    <col min="7439" max="7441" width="9.88671875" style="1" customWidth="1"/>
    <col min="7442" max="7680" width="11" style="1"/>
    <col min="7681" max="7681" width="3.109375" style="1" customWidth="1"/>
    <col min="7682" max="7682" width="21.88671875" style="1" customWidth="1"/>
    <col min="7683" max="7694" width="7.5546875" style="1" bestFit="1" customWidth="1"/>
    <col min="7695" max="7697" width="9.88671875" style="1" customWidth="1"/>
    <col min="7698" max="7936" width="11" style="1"/>
    <col min="7937" max="7937" width="3.109375" style="1" customWidth="1"/>
    <col min="7938" max="7938" width="21.88671875" style="1" customWidth="1"/>
    <col min="7939" max="7950" width="7.5546875" style="1" bestFit="1" customWidth="1"/>
    <col min="7951" max="7953" width="9.88671875" style="1" customWidth="1"/>
    <col min="7954" max="8192" width="11" style="1"/>
    <col min="8193" max="8193" width="3.109375" style="1" customWidth="1"/>
    <col min="8194" max="8194" width="21.88671875" style="1" customWidth="1"/>
    <col min="8195" max="8206" width="7.5546875" style="1" bestFit="1" customWidth="1"/>
    <col min="8207" max="8209" width="9.88671875" style="1" customWidth="1"/>
    <col min="8210" max="8448" width="11" style="1"/>
    <col min="8449" max="8449" width="3.109375" style="1" customWidth="1"/>
    <col min="8450" max="8450" width="21.88671875" style="1" customWidth="1"/>
    <col min="8451" max="8462" width="7.5546875" style="1" bestFit="1" customWidth="1"/>
    <col min="8463" max="8465" width="9.88671875" style="1" customWidth="1"/>
    <col min="8466" max="8704" width="11" style="1"/>
    <col min="8705" max="8705" width="3.109375" style="1" customWidth="1"/>
    <col min="8706" max="8706" width="21.88671875" style="1" customWidth="1"/>
    <col min="8707" max="8718" width="7.5546875" style="1" bestFit="1" customWidth="1"/>
    <col min="8719" max="8721" width="9.88671875" style="1" customWidth="1"/>
    <col min="8722" max="8960" width="11" style="1"/>
    <col min="8961" max="8961" width="3.109375" style="1" customWidth="1"/>
    <col min="8962" max="8962" width="21.88671875" style="1" customWidth="1"/>
    <col min="8963" max="8974" width="7.5546875" style="1" bestFit="1" customWidth="1"/>
    <col min="8975" max="8977" width="9.88671875" style="1" customWidth="1"/>
    <col min="8978" max="9216" width="11" style="1"/>
    <col min="9217" max="9217" width="3.109375" style="1" customWidth="1"/>
    <col min="9218" max="9218" width="21.88671875" style="1" customWidth="1"/>
    <col min="9219" max="9230" width="7.5546875" style="1" bestFit="1" customWidth="1"/>
    <col min="9231" max="9233" width="9.88671875" style="1" customWidth="1"/>
    <col min="9234" max="9472" width="11" style="1"/>
    <col min="9473" max="9473" width="3.109375" style="1" customWidth="1"/>
    <col min="9474" max="9474" width="21.88671875" style="1" customWidth="1"/>
    <col min="9475" max="9486" width="7.5546875" style="1" bestFit="1" customWidth="1"/>
    <col min="9487" max="9489" width="9.88671875" style="1" customWidth="1"/>
    <col min="9490" max="9728" width="11" style="1"/>
    <col min="9729" max="9729" width="3.109375" style="1" customWidth="1"/>
    <col min="9730" max="9730" width="21.88671875" style="1" customWidth="1"/>
    <col min="9731" max="9742" width="7.5546875" style="1" bestFit="1" customWidth="1"/>
    <col min="9743" max="9745" width="9.88671875" style="1" customWidth="1"/>
    <col min="9746" max="9984" width="11" style="1"/>
    <col min="9985" max="9985" width="3.109375" style="1" customWidth="1"/>
    <col min="9986" max="9986" width="21.88671875" style="1" customWidth="1"/>
    <col min="9987" max="9998" width="7.5546875" style="1" bestFit="1" customWidth="1"/>
    <col min="9999" max="10001" width="9.88671875" style="1" customWidth="1"/>
    <col min="10002" max="10240" width="11" style="1"/>
    <col min="10241" max="10241" width="3.109375" style="1" customWidth="1"/>
    <col min="10242" max="10242" width="21.88671875" style="1" customWidth="1"/>
    <col min="10243" max="10254" width="7.5546875" style="1" bestFit="1" customWidth="1"/>
    <col min="10255" max="10257" width="9.88671875" style="1" customWidth="1"/>
    <col min="10258" max="10496" width="11" style="1"/>
    <col min="10497" max="10497" width="3.109375" style="1" customWidth="1"/>
    <col min="10498" max="10498" width="21.88671875" style="1" customWidth="1"/>
    <col min="10499" max="10510" width="7.5546875" style="1" bestFit="1" customWidth="1"/>
    <col min="10511" max="10513" width="9.88671875" style="1" customWidth="1"/>
    <col min="10514" max="10752" width="11" style="1"/>
    <col min="10753" max="10753" width="3.109375" style="1" customWidth="1"/>
    <col min="10754" max="10754" width="21.88671875" style="1" customWidth="1"/>
    <col min="10755" max="10766" width="7.5546875" style="1" bestFit="1" customWidth="1"/>
    <col min="10767" max="10769" width="9.88671875" style="1" customWidth="1"/>
    <col min="10770" max="11008" width="11" style="1"/>
    <col min="11009" max="11009" width="3.109375" style="1" customWidth="1"/>
    <col min="11010" max="11010" width="21.88671875" style="1" customWidth="1"/>
    <col min="11011" max="11022" width="7.5546875" style="1" bestFit="1" customWidth="1"/>
    <col min="11023" max="11025" width="9.88671875" style="1" customWidth="1"/>
    <col min="11026" max="11264" width="11" style="1"/>
    <col min="11265" max="11265" width="3.109375" style="1" customWidth="1"/>
    <col min="11266" max="11266" width="21.88671875" style="1" customWidth="1"/>
    <col min="11267" max="11278" width="7.5546875" style="1" bestFit="1" customWidth="1"/>
    <col min="11279" max="11281" width="9.88671875" style="1" customWidth="1"/>
    <col min="11282" max="11520" width="11" style="1"/>
    <col min="11521" max="11521" width="3.109375" style="1" customWidth="1"/>
    <col min="11522" max="11522" width="21.88671875" style="1" customWidth="1"/>
    <col min="11523" max="11534" width="7.5546875" style="1" bestFit="1" customWidth="1"/>
    <col min="11535" max="11537" width="9.88671875" style="1" customWidth="1"/>
    <col min="11538" max="11776" width="11" style="1"/>
    <col min="11777" max="11777" width="3.109375" style="1" customWidth="1"/>
    <col min="11778" max="11778" width="21.88671875" style="1" customWidth="1"/>
    <col min="11779" max="11790" width="7.5546875" style="1" bestFit="1" customWidth="1"/>
    <col min="11791" max="11793" width="9.88671875" style="1" customWidth="1"/>
    <col min="11794" max="12032" width="11" style="1"/>
    <col min="12033" max="12033" width="3.109375" style="1" customWidth="1"/>
    <col min="12034" max="12034" width="21.88671875" style="1" customWidth="1"/>
    <col min="12035" max="12046" width="7.5546875" style="1" bestFit="1" customWidth="1"/>
    <col min="12047" max="12049" width="9.88671875" style="1" customWidth="1"/>
    <col min="12050" max="12288" width="11" style="1"/>
    <col min="12289" max="12289" width="3.109375" style="1" customWidth="1"/>
    <col min="12290" max="12290" width="21.88671875" style="1" customWidth="1"/>
    <col min="12291" max="12302" width="7.5546875" style="1" bestFit="1" customWidth="1"/>
    <col min="12303" max="12305" width="9.88671875" style="1" customWidth="1"/>
    <col min="12306" max="12544" width="11" style="1"/>
    <col min="12545" max="12545" width="3.109375" style="1" customWidth="1"/>
    <col min="12546" max="12546" width="21.88671875" style="1" customWidth="1"/>
    <col min="12547" max="12558" width="7.5546875" style="1" bestFit="1" customWidth="1"/>
    <col min="12559" max="12561" width="9.88671875" style="1" customWidth="1"/>
    <col min="12562" max="12800" width="11" style="1"/>
    <col min="12801" max="12801" width="3.109375" style="1" customWidth="1"/>
    <col min="12802" max="12802" width="21.88671875" style="1" customWidth="1"/>
    <col min="12803" max="12814" width="7.5546875" style="1" bestFit="1" customWidth="1"/>
    <col min="12815" max="12817" width="9.88671875" style="1" customWidth="1"/>
    <col min="12818" max="13056" width="11" style="1"/>
    <col min="13057" max="13057" width="3.109375" style="1" customWidth="1"/>
    <col min="13058" max="13058" width="21.88671875" style="1" customWidth="1"/>
    <col min="13059" max="13070" width="7.5546875" style="1" bestFit="1" customWidth="1"/>
    <col min="13071" max="13073" width="9.88671875" style="1" customWidth="1"/>
    <col min="13074" max="13312" width="11" style="1"/>
    <col min="13313" max="13313" width="3.109375" style="1" customWidth="1"/>
    <col min="13314" max="13314" width="21.88671875" style="1" customWidth="1"/>
    <col min="13315" max="13326" width="7.5546875" style="1" bestFit="1" customWidth="1"/>
    <col min="13327" max="13329" width="9.88671875" style="1" customWidth="1"/>
    <col min="13330" max="13568" width="11" style="1"/>
    <col min="13569" max="13569" width="3.109375" style="1" customWidth="1"/>
    <col min="13570" max="13570" width="21.88671875" style="1" customWidth="1"/>
    <col min="13571" max="13582" width="7.5546875" style="1" bestFit="1" customWidth="1"/>
    <col min="13583" max="13585" width="9.88671875" style="1" customWidth="1"/>
    <col min="13586" max="13824" width="11" style="1"/>
    <col min="13825" max="13825" width="3.109375" style="1" customWidth="1"/>
    <col min="13826" max="13826" width="21.88671875" style="1" customWidth="1"/>
    <col min="13827" max="13838" width="7.5546875" style="1" bestFit="1" customWidth="1"/>
    <col min="13839" max="13841" width="9.88671875" style="1" customWidth="1"/>
    <col min="13842" max="14080" width="11" style="1"/>
    <col min="14081" max="14081" width="3.109375" style="1" customWidth="1"/>
    <col min="14082" max="14082" width="21.88671875" style="1" customWidth="1"/>
    <col min="14083" max="14094" width="7.5546875" style="1" bestFit="1" customWidth="1"/>
    <col min="14095" max="14097" width="9.88671875" style="1" customWidth="1"/>
    <col min="14098" max="14336" width="11" style="1"/>
    <col min="14337" max="14337" width="3.109375" style="1" customWidth="1"/>
    <col min="14338" max="14338" width="21.88671875" style="1" customWidth="1"/>
    <col min="14339" max="14350" width="7.5546875" style="1" bestFit="1" customWidth="1"/>
    <col min="14351" max="14353" width="9.88671875" style="1" customWidth="1"/>
    <col min="14354" max="14592" width="11" style="1"/>
    <col min="14593" max="14593" width="3.109375" style="1" customWidth="1"/>
    <col min="14594" max="14594" width="21.88671875" style="1" customWidth="1"/>
    <col min="14595" max="14606" width="7.5546875" style="1" bestFit="1" customWidth="1"/>
    <col min="14607" max="14609" width="9.88671875" style="1" customWidth="1"/>
    <col min="14610" max="14848" width="11" style="1"/>
    <col min="14849" max="14849" width="3.109375" style="1" customWidth="1"/>
    <col min="14850" max="14850" width="21.88671875" style="1" customWidth="1"/>
    <col min="14851" max="14862" width="7.5546875" style="1" bestFit="1" customWidth="1"/>
    <col min="14863" max="14865" width="9.88671875" style="1" customWidth="1"/>
    <col min="14866" max="15104" width="11" style="1"/>
    <col min="15105" max="15105" width="3.109375" style="1" customWidth="1"/>
    <col min="15106" max="15106" width="21.88671875" style="1" customWidth="1"/>
    <col min="15107" max="15118" width="7.5546875" style="1" bestFit="1" customWidth="1"/>
    <col min="15119" max="15121" width="9.88671875" style="1" customWidth="1"/>
    <col min="15122" max="15360" width="11" style="1"/>
    <col min="15361" max="15361" width="3.109375" style="1" customWidth="1"/>
    <col min="15362" max="15362" width="21.88671875" style="1" customWidth="1"/>
    <col min="15363" max="15374" width="7.5546875" style="1" bestFit="1" customWidth="1"/>
    <col min="15375" max="15377" width="9.88671875" style="1" customWidth="1"/>
    <col min="15378" max="15616" width="11" style="1"/>
    <col min="15617" max="15617" width="3.109375" style="1" customWidth="1"/>
    <col min="15618" max="15618" width="21.88671875" style="1" customWidth="1"/>
    <col min="15619" max="15630" width="7.5546875" style="1" bestFit="1" customWidth="1"/>
    <col min="15631" max="15633" width="9.88671875" style="1" customWidth="1"/>
    <col min="15634" max="15872" width="11" style="1"/>
    <col min="15873" max="15873" width="3.109375" style="1" customWidth="1"/>
    <col min="15874" max="15874" width="21.88671875" style="1" customWidth="1"/>
    <col min="15875" max="15886" width="7.5546875" style="1" bestFit="1" customWidth="1"/>
    <col min="15887" max="15889" width="9.88671875" style="1" customWidth="1"/>
    <col min="15890" max="16128" width="11" style="1"/>
    <col min="16129" max="16129" width="3.109375" style="1" customWidth="1"/>
    <col min="16130" max="16130" width="21.88671875" style="1" customWidth="1"/>
    <col min="16131" max="16142" width="7.5546875" style="1" bestFit="1" customWidth="1"/>
    <col min="16143" max="16145" width="9.88671875" style="1" customWidth="1"/>
    <col min="16146" max="16384" width="11" style="1"/>
  </cols>
  <sheetData>
    <row r="1" spans="1:19" s="110" customFormat="1" ht="18" x14ac:dyDescent="0.35">
      <c r="A1" s="438" t="s">
        <v>0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40"/>
    </row>
    <row r="2" spans="1:19" x14ac:dyDescent="0.15">
      <c r="A2" s="408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10"/>
    </row>
    <row r="3" spans="1:19" ht="13.8" thickBot="1" x14ac:dyDescent="0.3">
      <c r="A3" s="411" t="s">
        <v>1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3"/>
    </row>
    <row r="4" spans="1:19" s="71" customFormat="1" ht="9.9" customHeight="1" thickTop="1" x14ac:dyDescent="0.2">
      <c r="A4" s="430" t="s">
        <v>2</v>
      </c>
      <c r="B4" s="432" t="s">
        <v>3</v>
      </c>
      <c r="C4" s="441" t="s">
        <v>90</v>
      </c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2"/>
    </row>
    <row r="5" spans="1:19" s="71" customFormat="1" ht="9.9" customHeight="1" x14ac:dyDescent="0.2">
      <c r="A5" s="431"/>
      <c r="B5" s="433"/>
      <c r="C5" s="111" t="s">
        <v>5</v>
      </c>
      <c r="D5" s="111" t="s">
        <v>6</v>
      </c>
      <c r="E5" s="111" t="s">
        <v>7</v>
      </c>
      <c r="F5" s="111" t="s">
        <v>8</v>
      </c>
      <c r="G5" s="111" t="s">
        <v>9</v>
      </c>
      <c r="H5" s="111" t="s">
        <v>10</v>
      </c>
      <c r="I5" s="111" t="s">
        <v>11</v>
      </c>
      <c r="J5" s="111" t="s">
        <v>12</v>
      </c>
      <c r="K5" s="111" t="s">
        <v>13</v>
      </c>
      <c r="L5" s="111" t="s">
        <v>14</v>
      </c>
      <c r="M5" s="111" t="s">
        <v>15</v>
      </c>
      <c r="N5" s="112" t="s">
        <v>16</v>
      </c>
    </row>
    <row r="6" spans="1:19" s="71" customFormat="1" ht="9.6" customHeight="1" x14ac:dyDescent="0.2">
      <c r="A6" s="113">
        <v>1</v>
      </c>
      <c r="B6" s="114" t="s">
        <v>17</v>
      </c>
      <c r="C6" s="124">
        <v>41106.5</v>
      </c>
      <c r="D6" s="124">
        <v>41106.5</v>
      </c>
      <c r="E6" s="124">
        <v>41106.5</v>
      </c>
      <c r="F6" s="124">
        <v>41106.5</v>
      </c>
      <c r="G6" s="124">
        <v>47004.800000000003</v>
      </c>
      <c r="H6" s="124">
        <v>47004.800000000003</v>
      </c>
      <c r="I6" s="124">
        <v>47004.800000000003</v>
      </c>
      <c r="J6" s="124">
        <v>47004.800000000003</v>
      </c>
      <c r="K6" s="124">
        <v>46844.9</v>
      </c>
      <c r="L6" s="124">
        <v>47494.9</v>
      </c>
      <c r="M6" s="124">
        <v>48282.7</v>
      </c>
      <c r="N6" s="125">
        <v>48860.7</v>
      </c>
    </row>
    <row r="7" spans="1:19" s="82" customFormat="1" ht="9.6" customHeight="1" x14ac:dyDescent="0.2">
      <c r="A7" s="115"/>
      <c r="B7" s="116" t="s">
        <v>18</v>
      </c>
      <c r="C7" s="126">
        <v>38502.9</v>
      </c>
      <c r="D7" s="126">
        <v>39336.800000000003</v>
      </c>
      <c r="E7" s="126">
        <v>39531.5</v>
      </c>
      <c r="F7" s="126">
        <v>39651.5</v>
      </c>
      <c r="G7" s="126">
        <v>45599.1</v>
      </c>
      <c r="H7" s="126">
        <v>45494.1</v>
      </c>
      <c r="I7" s="126">
        <v>45514.1</v>
      </c>
      <c r="J7" s="126">
        <v>44915.6</v>
      </c>
      <c r="K7" s="126">
        <v>44385.7</v>
      </c>
      <c r="L7" s="126">
        <v>45415.7</v>
      </c>
      <c r="M7" s="126">
        <v>46242.7</v>
      </c>
      <c r="N7" s="127">
        <v>46990.7</v>
      </c>
      <c r="S7" s="83"/>
    </row>
    <row r="8" spans="1:19" s="89" customFormat="1" ht="9.6" customHeight="1" x14ac:dyDescent="0.2">
      <c r="A8" s="117"/>
      <c r="B8" s="118" t="s">
        <v>19</v>
      </c>
      <c r="C8" s="128">
        <v>11215</v>
      </c>
      <c r="D8" s="128">
        <v>8645</v>
      </c>
      <c r="E8" s="128">
        <v>15574.3</v>
      </c>
      <c r="F8" s="128">
        <v>13434</v>
      </c>
      <c r="G8" s="128">
        <v>17452.3</v>
      </c>
      <c r="H8" s="128">
        <v>17252.3</v>
      </c>
      <c r="I8" s="128">
        <v>16662.3</v>
      </c>
      <c r="J8" s="128">
        <v>16494.5</v>
      </c>
      <c r="K8" s="128">
        <v>16550.5</v>
      </c>
      <c r="L8" s="128">
        <v>19828</v>
      </c>
      <c r="M8" s="128">
        <v>16098</v>
      </c>
      <c r="N8" s="129">
        <v>15816.9</v>
      </c>
      <c r="S8" s="90"/>
    </row>
    <row r="9" spans="1:19" s="89" customFormat="1" ht="9.6" customHeight="1" x14ac:dyDescent="0.2">
      <c r="A9" s="117"/>
      <c r="B9" s="118" t="s">
        <v>23</v>
      </c>
      <c r="C9" s="128">
        <v>27287.9</v>
      </c>
      <c r="D9" s="128">
        <v>30691.8</v>
      </c>
      <c r="E9" s="128">
        <v>23957.200000000001</v>
      </c>
      <c r="F9" s="128">
        <v>26217.5</v>
      </c>
      <c r="G9" s="128">
        <v>28146.799999999999</v>
      </c>
      <c r="H9" s="128">
        <v>28241.8</v>
      </c>
      <c r="I9" s="128">
        <v>28851.8</v>
      </c>
      <c r="J9" s="128">
        <v>28421.1</v>
      </c>
      <c r="K9" s="128">
        <v>27835.200000000001</v>
      </c>
      <c r="L9" s="128">
        <v>25587.7</v>
      </c>
      <c r="M9" s="128">
        <v>30144.7</v>
      </c>
      <c r="N9" s="129">
        <v>31173.8</v>
      </c>
    </row>
    <row r="10" spans="1:19" s="82" customFormat="1" ht="9.6" customHeight="1" x14ac:dyDescent="0.2">
      <c r="A10" s="115"/>
      <c r="B10" s="116" t="s">
        <v>24</v>
      </c>
      <c r="C10" s="130">
        <v>2603.6</v>
      </c>
      <c r="D10" s="130">
        <v>1769.7</v>
      </c>
      <c r="E10" s="130">
        <v>1575</v>
      </c>
      <c r="F10" s="130">
        <v>1455</v>
      </c>
      <c r="G10" s="130">
        <v>1405.7</v>
      </c>
      <c r="H10" s="130">
        <v>1510.7</v>
      </c>
      <c r="I10" s="130">
        <v>1490.7</v>
      </c>
      <c r="J10" s="130">
        <v>2089.1999999999998</v>
      </c>
      <c r="K10" s="130">
        <v>2459.1999999999998</v>
      </c>
      <c r="L10" s="130">
        <v>2079.1999999999998</v>
      </c>
      <c r="M10" s="130">
        <v>2040</v>
      </c>
      <c r="N10" s="131">
        <v>1870</v>
      </c>
      <c r="S10" s="83"/>
    </row>
    <row r="11" spans="1:19" s="89" customFormat="1" ht="9.6" customHeight="1" x14ac:dyDescent="0.2">
      <c r="A11" s="117"/>
      <c r="B11" s="118" t="s">
        <v>25</v>
      </c>
      <c r="C11" s="132">
        <v>1649.4</v>
      </c>
      <c r="D11" s="132">
        <v>1238.8</v>
      </c>
      <c r="E11" s="132">
        <v>1440</v>
      </c>
      <c r="F11" s="132">
        <v>1320</v>
      </c>
      <c r="G11" s="132">
        <v>1270.7</v>
      </c>
      <c r="H11" s="132">
        <v>1200.7</v>
      </c>
      <c r="I11" s="132">
        <v>1180.7</v>
      </c>
      <c r="J11" s="132">
        <v>1116.7</v>
      </c>
      <c r="K11" s="132">
        <v>846.7</v>
      </c>
      <c r="L11" s="132">
        <v>466.7</v>
      </c>
      <c r="M11" s="132">
        <v>850</v>
      </c>
      <c r="N11" s="133">
        <v>930</v>
      </c>
      <c r="S11" s="90"/>
    </row>
    <row r="12" spans="1:19" s="71" customFormat="1" ht="9.6" customHeight="1" x14ac:dyDescent="0.2">
      <c r="A12" s="113">
        <v>2</v>
      </c>
      <c r="B12" s="114" t="s">
        <v>26</v>
      </c>
      <c r="C12" s="124">
        <v>11090.7</v>
      </c>
      <c r="D12" s="124">
        <v>11090.7</v>
      </c>
      <c r="E12" s="124">
        <v>13090.7</v>
      </c>
      <c r="F12" s="124">
        <v>13090.7</v>
      </c>
      <c r="G12" s="124">
        <v>13090.7</v>
      </c>
      <c r="H12" s="124">
        <v>13090.7</v>
      </c>
      <c r="I12" s="124">
        <v>13090.7</v>
      </c>
      <c r="J12" s="124">
        <v>13090.7</v>
      </c>
      <c r="K12" s="124">
        <v>13090.7</v>
      </c>
      <c r="L12" s="124">
        <v>12440.7</v>
      </c>
      <c r="M12" s="124">
        <v>11650.7</v>
      </c>
      <c r="N12" s="125">
        <v>16059.2</v>
      </c>
      <c r="S12" s="91"/>
    </row>
    <row r="13" spans="1:19" s="82" customFormat="1" ht="9.6" customHeight="1" x14ac:dyDescent="0.2">
      <c r="A13" s="115"/>
      <c r="B13" s="116" t="s">
        <v>18</v>
      </c>
      <c r="C13" s="126">
        <v>7799.6</v>
      </c>
      <c r="D13" s="126">
        <v>7435.1</v>
      </c>
      <c r="E13" s="126">
        <v>9002.1</v>
      </c>
      <c r="F13" s="126">
        <v>9267.5</v>
      </c>
      <c r="G13" s="126">
        <v>9220.2999999999993</v>
      </c>
      <c r="H13" s="126">
        <v>9203</v>
      </c>
      <c r="I13" s="126">
        <v>9712.4</v>
      </c>
      <c r="J13" s="126">
        <v>9696.7999999999993</v>
      </c>
      <c r="K13" s="126">
        <v>9658.5</v>
      </c>
      <c r="L13" s="126">
        <v>8859.2999999999993</v>
      </c>
      <c r="M13" s="126">
        <v>8431.7000000000007</v>
      </c>
      <c r="N13" s="127">
        <v>9036.9</v>
      </c>
      <c r="P13" s="83"/>
      <c r="Q13" s="83"/>
      <c r="S13" s="83"/>
    </row>
    <row r="14" spans="1:19" s="89" customFormat="1" ht="9.6" customHeight="1" x14ac:dyDescent="0.2">
      <c r="A14" s="117"/>
      <c r="B14" s="118" t="s">
        <v>53</v>
      </c>
      <c r="C14" s="130">
        <v>2373</v>
      </c>
      <c r="D14" s="130">
        <v>2008.5</v>
      </c>
      <c r="E14" s="130">
        <v>2008.5</v>
      </c>
      <c r="F14" s="130">
        <v>2273.9</v>
      </c>
      <c r="G14" s="130">
        <v>2226.6999999999998</v>
      </c>
      <c r="H14" s="130">
        <v>2209.4</v>
      </c>
      <c r="I14" s="130">
        <v>2718.8</v>
      </c>
      <c r="J14" s="130">
        <v>2703.2</v>
      </c>
      <c r="K14" s="130">
        <v>2664.9</v>
      </c>
      <c r="L14" s="130">
        <v>1865.7</v>
      </c>
      <c r="M14" s="130">
        <v>1808.6</v>
      </c>
      <c r="N14" s="131">
        <v>1796</v>
      </c>
      <c r="P14" s="90"/>
      <c r="Q14" s="90"/>
      <c r="S14" s="90"/>
    </row>
    <row r="15" spans="1:19" s="89" customFormat="1" ht="9.6" customHeight="1" x14ac:dyDescent="0.2">
      <c r="A15" s="117"/>
      <c r="B15" s="118" t="s">
        <v>23</v>
      </c>
      <c r="C15" s="130">
        <v>5426.6</v>
      </c>
      <c r="D15" s="130">
        <v>5426.6</v>
      </c>
      <c r="E15" s="130">
        <v>6993.6</v>
      </c>
      <c r="F15" s="130">
        <v>6993.6</v>
      </c>
      <c r="G15" s="130">
        <v>6993.6</v>
      </c>
      <c r="H15" s="130">
        <v>6993.6</v>
      </c>
      <c r="I15" s="130">
        <v>6993.6</v>
      </c>
      <c r="J15" s="130">
        <v>6993.6</v>
      </c>
      <c r="K15" s="130">
        <v>6993.6</v>
      </c>
      <c r="L15" s="130">
        <v>6993.6</v>
      </c>
      <c r="M15" s="130">
        <v>6623.1</v>
      </c>
      <c r="N15" s="131">
        <v>7240.9</v>
      </c>
      <c r="S15" s="90"/>
    </row>
    <row r="16" spans="1:19" s="82" customFormat="1" ht="9.6" customHeight="1" x14ac:dyDescent="0.2">
      <c r="A16" s="115"/>
      <c r="B16" s="116" t="s">
        <v>54</v>
      </c>
      <c r="C16" s="130">
        <v>3291.1</v>
      </c>
      <c r="D16" s="130">
        <v>3655.6</v>
      </c>
      <c r="E16" s="130">
        <v>4088.6</v>
      </c>
      <c r="F16" s="130">
        <v>3823.2</v>
      </c>
      <c r="G16" s="130">
        <v>3870.4</v>
      </c>
      <c r="H16" s="130">
        <v>3887.7</v>
      </c>
      <c r="I16" s="130">
        <v>3378.3</v>
      </c>
      <c r="J16" s="130">
        <v>3393.9</v>
      </c>
      <c r="K16" s="130">
        <v>3432.2</v>
      </c>
      <c r="L16" s="130">
        <v>3581.4</v>
      </c>
      <c r="M16" s="130">
        <v>3219</v>
      </c>
      <c r="N16" s="131">
        <v>7022.3</v>
      </c>
      <c r="P16" s="83"/>
      <c r="Q16" s="83"/>
      <c r="S16" s="83"/>
    </row>
    <row r="17" spans="1:19" s="71" customFormat="1" ht="9.6" customHeight="1" x14ac:dyDescent="0.2">
      <c r="A17" s="113">
        <v>3</v>
      </c>
      <c r="B17" s="114" t="s">
        <v>83</v>
      </c>
      <c r="C17" s="124">
        <v>11536.3</v>
      </c>
      <c r="D17" s="124">
        <v>11536.3</v>
      </c>
      <c r="E17" s="124">
        <v>11536.3</v>
      </c>
      <c r="F17" s="124">
        <v>11286.3</v>
      </c>
      <c r="G17" s="124">
        <v>11286.3</v>
      </c>
      <c r="H17" s="124">
        <v>11259.8</v>
      </c>
      <c r="I17" s="124">
        <v>11259.8</v>
      </c>
      <c r="J17" s="124">
        <v>11259.8</v>
      </c>
      <c r="K17" s="124">
        <v>10659.8</v>
      </c>
      <c r="L17" s="124">
        <v>10659.8</v>
      </c>
      <c r="M17" s="124">
        <v>10039.799999999999</v>
      </c>
      <c r="N17" s="125">
        <v>9629.7999999999993</v>
      </c>
      <c r="P17" s="91"/>
      <c r="Q17" s="91"/>
      <c r="S17" s="91"/>
    </row>
    <row r="18" spans="1:19" s="82" customFormat="1" ht="9.6" customHeight="1" x14ac:dyDescent="0.2">
      <c r="A18" s="115"/>
      <c r="B18" s="116" t="s">
        <v>18</v>
      </c>
      <c r="C18" s="126">
        <v>117.8</v>
      </c>
      <c r="D18" s="126">
        <v>119.8</v>
      </c>
      <c r="E18" s="126">
        <v>117.8</v>
      </c>
      <c r="F18" s="126">
        <v>119.4</v>
      </c>
      <c r="G18" s="126">
        <v>118.7</v>
      </c>
      <c r="H18" s="126">
        <v>111.3</v>
      </c>
      <c r="I18" s="126">
        <v>110.9</v>
      </c>
      <c r="J18" s="126">
        <v>110.4</v>
      </c>
      <c r="K18" s="126">
        <v>116.8</v>
      </c>
      <c r="L18" s="126">
        <v>110.7</v>
      </c>
      <c r="M18" s="126">
        <v>110</v>
      </c>
      <c r="N18" s="127">
        <v>110</v>
      </c>
      <c r="S18" s="83"/>
    </row>
    <row r="19" spans="1:19" s="89" customFormat="1" ht="9.6" customHeight="1" x14ac:dyDescent="0.2">
      <c r="A19" s="117"/>
      <c r="B19" s="118" t="s">
        <v>19</v>
      </c>
      <c r="C19" s="128">
        <v>0</v>
      </c>
      <c r="D19" s="128">
        <v>2</v>
      </c>
      <c r="E19" s="128">
        <v>0</v>
      </c>
      <c r="F19" s="128">
        <v>1.6</v>
      </c>
      <c r="G19" s="128">
        <v>0.9</v>
      </c>
      <c r="H19" s="128">
        <v>1.3</v>
      </c>
      <c r="I19" s="128">
        <v>0.9</v>
      </c>
      <c r="J19" s="128">
        <v>0.4</v>
      </c>
      <c r="K19" s="128">
        <v>6.8</v>
      </c>
      <c r="L19" s="128">
        <v>0.7</v>
      </c>
      <c r="M19" s="128">
        <v>0</v>
      </c>
      <c r="N19" s="129">
        <v>0</v>
      </c>
      <c r="S19" s="90"/>
    </row>
    <row r="20" spans="1:19" s="89" customFormat="1" ht="9.6" customHeight="1" x14ac:dyDescent="0.2">
      <c r="A20" s="117"/>
      <c r="B20" s="118" t="s">
        <v>23</v>
      </c>
      <c r="C20" s="128">
        <v>117.8</v>
      </c>
      <c r="D20" s="128">
        <v>117.8</v>
      </c>
      <c r="E20" s="128">
        <v>117.8</v>
      </c>
      <c r="F20" s="128">
        <v>117.8</v>
      </c>
      <c r="G20" s="128">
        <v>117.8</v>
      </c>
      <c r="H20" s="128">
        <v>110</v>
      </c>
      <c r="I20" s="128">
        <v>110</v>
      </c>
      <c r="J20" s="128">
        <v>110</v>
      </c>
      <c r="K20" s="128">
        <v>110</v>
      </c>
      <c r="L20" s="128">
        <v>110</v>
      </c>
      <c r="M20" s="128">
        <v>110</v>
      </c>
      <c r="N20" s="129">
        <v>110</v>
      </c>
      <c r="P20" s="90"/>
      <c r="Q20" s="90"/>
      <c r="S20" s="90"/>
    </row>
    <row r="21" spans="1:19" s="82" customFormat="1" ht="9.6" customHeight="1" x14ac:dyDescent="0.2">
      <c r="A21" s="115"/>
      <c r="B21" s="116" t="s">
        <v>55</v>
      </c>
      <c r="C21" s="130">
        <v>11418.5</v>
      </c>
      <c r="D21" s="130">
        <v>11416.5</v>
      </c>
      <c r="E21" s="130">
        <v>11418.5</v>
      </c>
      <c r="F21" s="130">
        <v>11166.9</v>
      </c>
      <c r="G21" s="130">
        <v>11167.6</v>
      </c>
      <c r="H21" s="130">
        <v>11148.5</v>
      </c>
      <c r="I21" s="130">
        <v>11148.9</v>
      </c>
      <c r="J21" s="130">
        <v>11149.4</v>
      </c>
      <c r="K21" s="130">
        <v>10543</v>
      </c>
      <c r="L21" s="130">
        <v>10549.1</v>
      </c>
      <c r="M21" s="130">
        <v>9929.7999999999993</v>
      </c>
      <c r="N21" s="131">
        <v>9519.7999999999993</v>
      </c>
      <c r="P21" s="83"/>
      <c r="Q21" s="83"/>
      <c r="S21" s="83"/>
    </row>
    <row r="22" spans="1:19" s="82" customFormat="1" ht="9.6" customHeight="1" x14ac:dyDescent="0.2">
      <c r="A22" s="113">
        <v>4</v>
      </c>
      <c r="B22" s="114" t="s">
        <v>84</v>
      </c>
      <c r="C22" s="124">
        <v>628.1</v>
      </c>
      <c r="D22" s="124">
        <v>628.1</v>
      </c>
      <c r="E22" s="124">
        <v>628.1</v>
      </c>
      <c r="F22" s="124">
        <v>628.1</v>
      </c>
      <c r="G22" s="124">
        <v>628.1</v>
      </c>
      <c r="H22" s="124">
        <v>931.1</v>
      </c>
      <c r="I22" s="124">
        <v>931.1</v>
      </c>
      <c r="J22" s="124">
        <v>931.1</v>
      </c>
      <c r="K22" s="124">
        <v>931.1</v>
      </c>
      <c r="L22" s="124">
        <v>931.1</v>
      </c>
      <c r="M22" s="124">
        <v>931.1</v>
      </c>
      <c r="N22" s="125">
        <v>931.1</v>
      </c>
      <c r="P22" s="83"/>
      <c r="Q22" s="83"/>
      <c r="S22" s="83"/>
    </row>
    <row r="23" spans="1:19" s="82" customFormat="1" ht="9.6" customHeight="1" x14ac:dyDescent="0.2">
      <c r="A23" s="115"/>
      <c r="B23" s="116" t="s">
        <v>18</v>
      </c>
      <c r="C23" s="126">
        <v>0</v>
      </c>
      <c r="D23" s="126">
        <v>0.5</v>
      </c>
      <c r="E23" s="126">
        <v>0</v>
      </c>
      <c r="F23" s="126">
        <v>0</v>
      </c>
      <c r="G23" s="126">
        <v>0</v>
      </c>
      <c r="H23" s="126">
        <v>1</v>
      </c>
      <c r="I23" s="126">
        <v>0.1</v>
      </c>
      <c r="J23" s="126">
        <v>1.3</v>
      </c>
      <c r="K23" s="126">
        <v>1</v>
      </c>
      <c r="L23" s="126">
        <v>0.3</v>
      </c>
      <c r="M23" s="126">
        <v>0</v>
      </c>
      <c r="N23" s="127">
        <v>0</v>
      </c>
      <c r="P23" s="83"/>
      <c r="Q23" s="83"/>
      <c r="S23" s="83"/>
    </row>
    <row r="24" spans="1:19" s="89" customFormat="1" ht="9.6" customHeight="1" x14ac:dyDescent="0.2">
      <c r="A24" s="117"/>
      <c r="B24" s="118" t="s">
        <v>19</v>
      </c>
      <c r="C24" s="128">
        <v>0</v>
      </c>
      <c r="D24" s="128">
        <v>0.5</v>
      </c>
      <c r="E24" s="128">
        <v>0</v>
      </c>
      <c r="F24" s="128">
        <v>0</v>
      </c>
      <c r="G24" s="128">
        <v>0</v>
      </c>
      <c r="H24" s="128">
        <v>1</v>
      </c>
      <c r="I24" s="128">
        <v>0.1</v>
      </c>
      <c r="J24" s="128">
        <v>1.3</v>
      </c>
      <c r="K24" s="128">
        <v>1</v>
      </c>
      <c r="L24" s="128">
        <v>0.3</v>
      </c>
      <c r="M24" s="128">
        <v>0</v>
      </c>
      <c r="N24" s="129">
        <v>0</v>
      </c>
      <c r="P24" s="90"/>
      <c r="Q24" s="90"/>
      <c r="S24" s="90"/>
    </row>
    <row r="25" spans="1:19" s="82" customFormat="1" ht="9.6" customHeight="1" x14ac:dyDescent="0.2">
      <c r="A25" s="115"/>
      <c r="B25" s="116" t="s">
        <v>85</v>
      </c>
      <c r="C25" s="130">
        <v>628.1</v>
      </c>
      <c r="D25" s="130">
        <v>627.6</v>
      </c>
      <c r="E25" s="130">
        <v>628.1</v>
      </c>
      <c r="F25" s="130">
        <v>628.1</v>
      </c>
      <c r="G25" s="130">
        <v>628.1</v>
      </c>
      <c r="H25" s="130">
        <v>930.1</v>
      </c>
      <c r="I25" s="130">
        <v>931</v>
      </c>
      <c r="J25" s="130">
        <v>929.8</v>
      </c>
      <c r="K25" s="130">
        <v>930.1</v>
      </c>
      <c r="L25" s="130">
        <v>930.8</v>
      </c>
      <c r="M25" s="130">
        <v>931.1</v>
      </c>
      <c r="N25" s="131">
        <v>931.1</v>
      </c>
      <c r="P25" s="83"/>
      <c r="Q25" s="83"/>
      <c r="S25" s="83"/>
    </row>
    <row r="26" spans="1:19" s="71" customFormat="1" ht="9.6" customHeight="1" x14ac:dyDescent="0.2">
      <c r="A26" s="113">
        <v>4</v>
      </c>
      <c r="B26" s="114" t="s">
        <v>34</v>
      </c>
      <c r="C26" s="124">
        <v>9259.2999999999993</v>
      </c>
      <c r="D26" s="124">
        <v>9259.2999999999993</v>
      </c>
      <c r="E26" s="124">
        <v>9259.2999999999993</v>
      </c>
      <c r="F26" s="124">
        <v>9259.2999999999993</v>
      </c>
      <c r="G26" s="124">
        <v>9259.2999999999993</v>
      </c>
      <c r="H26" s="124">
        <v>9259.2999999999993</v>
      </c>
      <c r="I26" s="124">
        <v>9416.9</v>
      </c>
      <c r="J26" s="124">
        <v>9416.9</v>
      </c>
      <c r="K26" s="124">
        <v>9621.7000000000007</v>
      </c>
      <c r="L26" s="124">
        <v>9063</v>
      </c>
      <c r="M26" s="124">
        <v>9063</v>
      </c>
      <c r="N26" s="125">
        <v>9164.5</v>
      </c>
      <c r="S26" s="91"/>
    </row>
    <row r="27" spans="1:19" s="82" customFormat="1" ht="9.6" customHeight="1" x14ac:dyDescent="0.2">
      <c r="A27" s="115"/>
      <c r="B27" s="116" t="s">
        <v>18</v>
      </c>
      <c r="C27" s="126">
        <v>7355.4</v>
      </c>
      <c r="D27" s="126">
        <v>7355.4</v>
      </c>
      <c r="E27" s="126">
        <v>7355.4</v>
      </c>
      <c r="F27" s="126">
        <v>7355.4</v>
      </c>
      <c r="G27" s="126">
        <v>7355.4</v>
      </c>
      <c r="H27" s="126">
        <v>7355.4</v>
      </c>
      <c r="I27" s="126">
        <v>7513</v>
      </c>
      <c r="J27" s="126">
        <v>7513</v>
      </c>
      <c r="K27" s="126">
        <v>7513</v>
      </c>
      <c r="L27" s="126">
        <v>6954.3</v>
      </c>
      <c r="M27" s="126">
        <v>6954.3</v>
      </c>
      <c r="N27" s="127">
        <v>6954.3</v>
      </c>
      <c r="P27" s="83"/>
      <c r="Q27" s="83"/>
      <c r="S27" s="83"/>
    </row>
    <row r="28" spans="1:19" s="89" customFormat="1" ht="9.6" customHeight="1" x14ac:dyDescent="0.2">
      <c r="A28" s="117"/>
      <c r="B28" s="118" t="s">
        <v>56</v>
      </c>
      <c r="C28" s="132">
        <v>6568.4</v>
      </c>
      <c r="D28" s="132">
        <v>6568.4</v>
      </c>
      <c r="E28" s="132">
        <v>6568.4</v>
      </c>
      <c r="F28" s="132">
        <v>6568.4</v>
      </c>
      <c r="G28" s="132">
        <v>6568.4</v>
      </c>
      <c r="H28" s="132">
        <v>6568.4</v>
      </c>
      <c r="I28" s="132">
        <v>6568.4</v>
      </c>
      <c r="J28" s="132">
        <v>6568.4</v>
      </c>
      <c r="K28" s="132">
        <v>6568.4</v>
      </c>
      <c r="L28" s="132">
        <v>6009.7</v>
      </c>
      <c r="M28" s="132">
        <v>6009.7</v>
      </c>
      <c r="N28" s="133">
        <v>6009.7</v>
      </c>
      <c r="S28" s="90"/>
    </row>
    <row r="29" spans="1:19" s="89" customFormat="1" ht="9.6" customHeight="1" x14ac:dyDescent="0.2">
      <c r="A29" s="117"/>
      <c r="B29" s="118" t="s">
        <v>23</v>
      </c>
      <c r="C29" s="128">
        <v>787</v>
      </c>
      <c r="D29" s="128">
        <v>787</v>
      </c>
      <c r="E29" s="128">
        <v>787</v>
      </c>
      <c r="F29" s="128">
        <v>787</v>
      </c>
      <c r="G29" s="128">
        <v>787</v>
      </c>
      <c r="H29" s="128">
        <v>787</v>
      </c>
      <c r="I29" s="128">
        <v>944.6</v>
      </c>
      <c r="J29" s="128">
        <v>944.6</v>
      </c>
      <c r="K29" s="128">
        <v>944.6</v>
      </c>
      <c r="L29" s="128">
        <v>944.6</v>
      </c>
      <c r="M29" s="128">
        <v>944.6</v>
      </c>
      <c r="N29" s="133">
        <v>944.6</v>
      </c>
      <c r="S29" s="90"/>
    </row>
    <row r="30" spans="1:19" s="82" customFormat="1" ht="9.6" customHeight="1" x14ac:dyDescent="0.2">
      <c r="A30" s="115"/>
      <c r="B30" s="116" t="s">
        <v>36</v>
      </c>
      <c r="C30" s="130">
        <v>1903.9</v>
      </c>
      <c r="D30" s="130">
        <v>1903.9</v>
      </c>
      <c r="E30" s="130">
        <v>1903.9</v>
      </c>
      <c r="F30" s="130">
        <v>1903.9</v>
      </c>
      <c r="G30" s="130">
        <v>1903.9</v>
      </c>
      <c r="H30" s="130">
        <v>1903.9</v>
      </c>
      <c r="I30" s="130">
        <v>1903.9</v>
      </c>
      <c r="J30" s="130">
        <v>1903.9</v>
      </c>
      <c r="K30" s="130">
        <v>2108.6999999999998</v>
      </c>
      <c r="L30" s="130">
        <v>2108.6999999999998</v>
      </c>
      <c r="M30" s="130">
        <v>2108.6999999999998</v>
      </c>
      <c r="N30" s="127">
        <v>2210.1999999999998</v>
      </c>
      <c r="S30" s="83"/>
    </row>
    <row r="31" spans="1:19" s="71" customFormat="1" ht="9.6" customHeight="1" x14ac:dyDescent="0.2">
      <c r="A31" s="119">
        <v>5</v>
      </c>
      <c r="B31" s="114" t="s">
        <v>76</v>
      </c>
      <c r="C31" s="124">
        <v>5978.1</v>
      </c>
      <c r="D31" s="124">
        <v>5350.8</v>
      </c>
      <c r="E31" s="124">
        <v>6527.6</v>
      </c>
      <c r="F31" s="124">
        <v>6295.5</v>
      </c>
      <c r="G31" s="124">
        <v>152.5</v>
      </c>
      <c r="H31" s="124">
        <v>287.89999999999998</v>
      </c>
      <c r="I31" s="124">
        <v>-215.8</v>
      </c>
      <c r="J31" s="124">
        <v>-1438.6</v>
      </c>
      <c r="K31" s="124">
        <v>-1288.2</v>
      </c>
      <c r="L31" s="124">
        <v>583.5</v>
      </c>
      <c r="M31" s="124">
        <v>2409.3000000000002</v>
      </c>
      <c r="N31" s="125">
        <v>-461.7</v>
      </c>
      <c r="S31" s="91"/>
    </row>
    <row r="32" spans="1:19" s="82" customFormat="1" ht="9.6" customHeight="1" x14ac:dyDescent="0.2">
      <c r="A32" s="115"/>
      <c r="B32" s="116" t="s">
        <v>70</v>
      </c>
      <c r="C32" s="130">
        <v>5978.1</v>
      </c>
      <c r="D32" s="130">
        <v>5350.8</v>
      </c>
      <c r="E32" s="130">
        <v>6527.6</v>
      </c>
      <c r="F32" s="130">
        <v>6295.5</v>
      </c>
      <c r="G32" s="130">
        <v>152.5</v>
      </c>
      <c r="H32" s="130">
        <v>287.89999999999998</v>
      </c>
      <c r="I32" s="130">
        <v>-215.8</v>
      </c>
      <c r="J32" s="130">
        <v>-1438.6</v>
      </c>
      <c r="K32" s="130">
        <v>-1288.2</v>
      </c>
      <c r="L32" s="130">
        <v>583.5</v>
      </c>
      <c r="M32" s="130">
        <v>2409.3000000000002</v>
      </c>
      <c r="N32" s="131">
        <v>-461.7</v>
      </c>
      <c r="S32" s="83"/>
    </row>
    <row r="33" spans="1:19" s="71" customFormat="1" ht="9.6" customHeight="1" x14ac:dyDescent="0.2">
      <c r="A33" s="113">
        <v>6</v>
      </c>
      <c r="B33" s="114" t="s">
        <v>38</v>
      </c>
      <c r="C33" s="124">
        <v>79599</v>
      </c>
      <c r="D33" s="124">
        <v>78971.7</v>
      </c>
      <c r="E33" s="124">
        <v>82148.5</v>
      </c>
      <c r="F33" s="124">
        <v>81666.399999999994</v>
      </c>
      <c r="G33" s="124">
        <v>81421.7</v>
      </c>
      <c r="H33" s="124">
        <v>81833.600000000006</v>
      </c>
      <c r="I33" s="124">
        <v>81487.5</v>
      </c>
      <c r="J33" s="124">
        <v>80264.7</v>
      </c>
      <c r="K33" s="124">
        <v>79860</v>
      </c>
      <c r="L33" s="124">
        <v>81173</v>
      </c>
      <c r="M33" s="124">
        <v>82376.600000000006</v>
      </c>
      <c r="N33" s="125">
        <v>84183.6</v>
      </c>
      <c r="S33" s="91"/>
    </row>
    <row r="34" spans="1:19" s="82" customFormat="1" ht="9.6" customHeight="1" x14ac:dyDescent="0.2">
      <c r="A34" s="120"/>
      <c r="B34" s="116" t="s">
        <v>18</v>
      </c>
      <c r="C34" s="126">
        <v>59753.8</v>
      </c>
      <c r="D34" s="126">
        <v>59598.400000000001</v>
      </c>
      <c r="E34" s="126">
        <v>62534.400000000001</v>
      </c>
      <c r="F34" s="126">
        <v>62689.3</v>
      </c>
      <c r="G34" s="126">
        <v>62446</v>
      </c>
      <c r="H34" s="126">
        <v>62452.7</v>
      </c>
      <c r="I34" s="126">
        <v>62634.7</v>
      </c>
      <c r="J34" s="126">
        <v>60798.5</v>
      </c>
      <c r="K34" s="126">
        <v>60386.8</v>
      </c>
      <c r="L34" s="126">
        <v>61923.8</v>
      </c>
      <c r="M34" s="126">
        <v>64148</v>
      </c>
      <c r="N34" s="127">
        <v>62630.2</v>
      </c>
      <c r="S34" s="83"/>
    </row>
    <row r="35" spans="1:19" s="89" customFormat="1" ht="9.6" customHeight="1" x14ac:dyDescent="0.2">
      <c r="A35" s="121"/>
      <c r="B35" s="118" t="s">
        <v>19</v>
      </c>
      <c r="C35" s="132">
        <v>26134.5</v>
      </c>
      <c r="D35" s="132">
        <v>22575.200000000001</v>
      </c>
      <c r="E35" s="132">
        <v>30678.799999999999</v>
      </c>
      <c r="F35" s="132">
        <v>28573.4</v>
      </c>
      <c r="G35" s="132">
        <v>26400.799999999999</v>
      </c>
      <c r="H35" s="132">
        <v>26320.3</v>
      </c>
      <c r="I35" s="132">
        <v>25734.7</v>
      </c>
      <c r="J35" s="132">
        <v>24329.200000000001</v>
      </c>
      <c r="K35" s="132">
        <v>24503.4</v>
      </c>
      <c r="L35" s="132">
        <v>28287.9</v>
      </c>
      <c r="M35" s="132">
        <v>26325.599999999999</v>
      </c>
      <c r="N35" s="133">
        <v>23160.9</v>
      </c>
      <c r="S35" s="90"/>
    </row>
    <row r="36" spans="1:19" s="89" customFormat="1" ht="9.6" customHeight="1" x14ac:dyDescent="0.2">
      <c r="A36" s="121"/>
      <c r="B36" s="118" t="s">
        <v>23</v>
      </c>
      <c r="C36" s="132">
        <v>33619.300000000003</v>
      </c>
      <c r="D36" s="132">
        <v>37023.199999999997</v>
      </c>
      <c r="E36" s="132">
        <v>31855.599999999999</v>
      </c>
      <c r="F36" s="132">
        <v>34115.9</v>
      </c>
      <c r="G36" s="132">
        <v>36045.199999999997</v>
      </c>
      <c r="H36" s="132">
        <v>36132.400000000001</v>
      </c>
      <c r="I36" s="132">
        <v>36900</v>
      </c>
      <c r="J36" s="132">
        <v>36469.300000000003</v>
      </c>
      <c r="K36" s="132">
        <v>35883.4</v>
      </c>
      <c r="L36" s="132">
        <v>33635.9</v>
      </c>
      <c r="M36" s="132">
        <v>37822.400000000001</v>
      </c>
      <c r="N36" s="133">
        <v>39469.300000000003</v>
      </c>
      <c r="S36" s="90"/>
    </row>
    <row r="37" spans="1:19" s="82" customFormat="1" ht="9.6" customHeight="1" x14ac:dyDescent="0.2">
      <c r="A37" s="120"/>
      <c r="B37" s="116" t="s">
        <v>24</v>
      </c>
      <c r="C37" s="126">
        <v>19845.2</v>
      </c>
      <c r="D37" s="126">
        <v>19373.3</v>
      </c>
      <c r="E37" s="126">
        <v>19614.099999999999</v>
      </c>
      <c r="F37" s="126">
        <v>18977.099999999999</v>
      </c>
      <c r="G37" s="126">
        <v>18975.7</v>
      </c>
      <c r="H37" s="126">
        <v>19380.900000000001</v>
      </c>
      <c r="I37" s="126">
        <v>18852.8</v>
      </c>
      <c r="J37" s="126">
        <v>19466.2</v>
      </c>
      <c r="K37" s="126">
        <v>19473.2</v>
      </c>
      <c r="L37" s="126">
        <v>19249.2</v>
      </c>
      <c r="M37" s="126">
        <v>18228.599999999999</v>
      </c>
      <c r="N37" s="127">
        <v>21553.4</v>
      </c>
      <c r="P37" s="83"/>
      <c r="Q37" s="83"/>
      <c r="S37" s="83"/>
    </row>
    <row r="38" spans="1:19" s="89" customFormat="1" ht="9.6" customHeight="1" thickBot="1" x14ac:dyDescent="0.25">
      <c r="A38" s="122"/>
      <c r="B38" s="123" t="s">
        <v>25</v>
      </c>
      <c r="C38" s="134">
        <v>1649.4</v>
      </c>
      <c r="D38" s="134">
        <v>1238.8</v>
      </c>
      <c r="E38" s="134">
        <v>1440</v>
      </c>
      <c r="F38" s="134">
        <v>1320</v>
      </c>
      <c r="G38" s="134">
        <v>1270.7</v>
      </c>
      <c r="H38" s="134">
        <v>1200.7</v>
      </c>
      <c r="I38" s="134">
        <v>1180.7</v>
      </c>
      <c r="J38" s="134">
        <v>1116.7</v>
      </c>
      <c r="K38" s="134">
        <v>846.7</v>
      </c>
      <c r="L38" s="134">
        <v>466.7</v>
      </c>
      <c r="M38" s="134">
        <v>850</v>
      </c>
      <c r="N38" s="135">
        <v>930</v>
      </c>
      <c r="P38" s="90"/>
      <c r="Q38" s="90"/>
      <c r="S38" s="90"/>
    </row>
    <row r="39" spans="1:19" s="82" customFormat="1" ht="9.9" customHeight="1" thickTop="1" x14ac:dyDescent="0.2">
      <c r="A39" s="99" t="s">
        <v>21</v>
      </c>
      <c r="B39" s="100" t="s">
        <v>58</v>
      </c>
      <c r="D39" s="83"/>
      <c r="G39" s="83"/>
      <c r="H39" s="83"/>
      <c r="I39" s="83"/>
      <c r="J39" s="83"/>
      <c r="K39" s="83"/>
      <c r="L39" s="83"/>
      <c r="M39" s="83"/>
      <c r="N39" s="83"/>
      <c r="P39" s="83"/>
      <c r="Q39" s="83"/>
      <c r="S39" s="83"/>
    </row>
    <row r="40" spans="1:19" s="82" customFormat="1" ht="9.9" customHeight="1" x14ac:dyDescent="0.2">
      <c r="A40" s="99" t="s">
        <v>59</v>
      </c>
      <c r="B40" s="100" t="s">
        <v>91</v>
      </c>
      <c r="D40" s="83"/>
      <c r="E40" s="136"/>
      <c r="F40" s="100"/>
      <c r="G40" s="83"/>
      <c r="H40" s="83"/>
      <c r="I40" s="83"/>
      <c r="J40" s="83"/>
      <c r="K40" s="83"/>
      <c r="L40" s="83"/>
      <c r="M40" s="83"/>
      <c r="N40" s="83"/>
      <c r="P40" s="83"/>
      <c r="Q40" s="83"/>
      <c r="S40" s="83"/>
    </row>
    <row r="41" spans="1:19" s="82" customFormat="1" ht="9.9" customHeight="1" x14ac:dyDescent="0.2">
      <c r="A41" s="99" t="s">
        <v>61</v>
      </c>
      <c r="B41" s="100" t="s">
        <v>87</v>
      </c>
      <c r="P41" s="83"/>
      <c r="Q41" s="83"/>
      <c r="S41" s="83"/>
    </row>
    <row r="42" spans="1:19" s="82" customFormat="1" ht="9.9" customHeight="1" x14ac:dyDescent="0.2">
      <c r="A42" s="99"/>
      <c r="B42" s="100" t="s">
        <v>92</v>
      </c>
      <c r="D42" s="83"/>
    </row>
    <row r="43" spans="1:19" s="82" customFormat="1" ht="9.9" customHeight="1" x14ac:dyDescent="0.2">
      <c r="A43" s="101" t="s">
        <v>63</v>
      </c>
      <c r="B43" s="100" t="s">
        <v>93</v>
      </c>
      <c r="D43" s="83"/>
    </row>
    <row r="44" spans="1:19" s="89" customFormat="1" ht="9.9" customHeight="1" x14ac:dyDescent="0.2">
      <c r="A44" s="109" t="s">
        <v>67</v>
      </c>
      <c r="S44" s="90"/>
    </row>
    <row r="45" spans="1:19" ht="10.5" customHeight="1" x14ac:dyDescent="0.15">
      <c r="A45" s="137"/>
    </row>
    <row r="46" spans="1:19" ht="10.5" customHeight="1" x14ac:dyDescent="0.15">
      <c r="A46" s="138"/>
      <c r="B46" s="139"/>
    </row>
    <row r="47" spans="1:19" ht="9" customHeight="1" x14ac:dyDescent="0.15"/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workbookViewId="0">
      <selection activeCell="M28" sqref="M28"/>
    </sheetView>
  </sheetViews>
  <sheetFormatPr defaultColWidth="11" defaultRowHeight="7.2" x14ac:dyDescent="0.15"/>
  <cols>
    <col min="1" max="1" width="2.88671875" style="70" customWidth="1"/>
    <col min="2" max="2" width="21" style="1" customWidth="1"/>
    <col min="3" max="14" width="7.5546875" style="1" bestFit="1" customWidth="1"/>
    <col min="15" max="15" width="0.5546875" style="1" hidden="1" customWidth="1"/>
    <col min="16" max="16" width="2" style="1" hidden="1" customWidth="1"/>
    <col min="17" max="19" width="9.88671875" style="1" customWidth="1"/>
    <col min="20" max="256" width="11" style="1"/>
    <col min="257" max="257" width="2.88671875" style="1" customWidth="1"/>
    <col min="258" max="258" width="21" style="1" customWidth="1"/>
    <col min="259" max="270" width="7.5546875" style="1" bestFit="1" customWidth="1"/>
    <col min="271" max="272" width="0" style="1" hidden="1" customWidth="1"/>
    <col min="273" max="275" width="9.88671875" style="1" customWidth="1"/>
    <col min="276" max="512" width="11" style="1"/>
    <col min="513" max="513" width="2.88671875" style="1" customWidth="1"/>
    <col min="514" max="514" width="21" style="1" customWidth="1"/>
    <col min="515" max="526" width="7.5546875" style="1" bestFit="1" customWidth="1"/>
    <col min="527" max="528" width="0" style="1" hidden="1" customWidth="1"/>
    <col min="529" max="531" width="9.88671875" style="1" customWidth="1"/>
    <col min="532" max="768" width="11" style="1"/>
    <col min="769" max="769" width="2.88671875" style="1" customWidth="1"/>
    <col min="770" max="770" width="21" style="1" customWidth="1"/>
    <col min="771" max="782" width="7.5546875" style="1" bestFit="1" customWidth="1"/>
    <col min="783" max="784" width="0" style="1" hidden="1" customWidth="1"/>
    <col min="785" max="787" width="9.88671875" style="1" customWidth="1"/>
    <col min="788" max="1024" width="11" style="1"/>
    <col min="1025" max="1025" width="2.88671875" style="1" customWidth="1"/>
    <col min="1026" max="1026" width="21" style="1" customWidth="1"/>
    <col min="1027" max="1038" width="7.5546875" style="1" bestFit="1" customWidth="1"/>
    <col min="1039" max="1040" width="0" style="1" hidden="1" customWidth="1"/>
    <col min="1041" max="1043" width="9.88671875" style="1" customWidth="1"/>
    <col min="1044" max="1280" width="11" style="1"/>
    <col min="1281" max="1281" width="2.88671875" style="1" customWidth="1"/>
    <col min="1282" max="1282" width="21" style="1" customWidth="1"/>
    <col min="1283" max="1294" width="7.5546875" style="1" bestFit="1" customWidth="1"/>
    <col min="1295" max="1296" width="0" style="1" hidden="1" customWidth="1"/>
    <col min="1297" max="1299" width="9.88671875" style="1" customWidth="1"/>
    <col min="1300" max="1536" width="11" style="1"/>
    <col min="1537" max="1537" width="2.88671875" style="1" customWidth="1"/>
    <col min="1538" max="1538" width="21" style="1" customWidth="1"/>
    <col min="1539" max="1550" width="7.5546875" style="1" bestFit="1" customWidth="1"/>
    <col min="1551" max="1552" width="0" style="1" hidden="1" customWidth="1"/>
    <col min="1553" max="1555" width="9.88671875" style="1" customWidth="1"/>
    <col min="1556" max="1792" width="11" style="1"/>
    <col min="1793" max="1793" width="2.88671875" style="1" customWidth="1"/>
    <col min="1794" max="1794" width="21" style="1" customWidth="1"/>
    <col min="1795" max="1806" width="7.5546875" style="1" bestFit="1" customWidth="1"/>
    <col min="1807" max="1808" width="0" style="1" hidden="1" customWidth="1"/>
    <col min="1809" max="1811" width="9.88671875" style="1" customWidth="1"/>
    <col min="1812" max="2048" width="11" style="1"/>
    <col min="2049" max="2049" width="2.88671875" style="1" customWidth="1"/>
    <col min="2050" max="2050" width="21" style="1" customWidth="1"/>
    <col min="2051" max="2062" width="7.5546875" style="1" bestFit="1" customWidth="1"/>
    <col min="2063" max="2064" width="0" style="1" hidden="1" customWidth="1"/>
    <col min="2065" max="2067" width="9.88671875" style="1" customWidth="1"/>
    <col min="2068" max="2304" width="11" style="1"/>
    <col min="2305" max="2305" width="2.88671875" style="1" customWidth="1"/>
    <col min="2306" max="2306" width="21" style="1" customWidth="1"/>
    <col min="2307" max="2318" width="7.5546875" style="1" bestFit="1" customWidth="1"/>
    <col min="2319" max="2320" width="0" style="1" hidden="1" customWidth="1"/>
    <col min="2321" max="2323" width="9.88671875" style="1" customWidth="1"/>
    <col min="2324" max="2560" width="11" style="1"/>
    <col min="2561" max="2561" width="2.88671875" style="1" customWidth="1"/>
    <col min="2562" max="2562" width="21" style="1" customWidth="1"/>
    <col min="2563" max="2574" width="7.5546875" style="1" bestFit="1" customWidth="1"/>
    <col min="2575" max="2576" width="0" style="1" hidden="1" customWidth="1"/>
    <col min="2577" max="2579" width="9.88671875" style="1" customWidth="1"/>
    <col min="2580" max="2816" width="11" style="1"/>
    <col min="2817" max="2817" width="2.88671875" style="1" customWidth="1"/>
    <col min="2818" max="2818" width="21" style="1" customWidth="1"/>
    <col min="2819" max="2830" width="7.5546875" style="1" bestFit="1" customWidth="1"/>
    <col min="2831" max="2832" width="0" style="1" hidden="1" customWidth="1"/>
    <col min="2833" max="2835" width="9.88671875" style="1" customWidth="1"/>
    <col min="2836" max="3072" width="11" style="1"/>
    <col min="3073" max="3073" width="2.88671875" style="1" customWidth="1"/>
    <col min="3074" max="3074" width="21" style="1" customWidth="1"/>
    <col min="3075" max="3086" width="7.5546875" style="1" bestFit="1" customWidth="1"/>
    <col min="3087" max="3088" width="0" style="1" hidden="1" customWidth="1"/>
    <col min="3089" max="3091" width="9.88671875" style="1" customWidth="1"/>
    <col min="3092" max="3328" width="11" style="1"/>
    <col min="3329" max="3329" width="2.88671875" style="1" customWidth="1"/>
    <col min="3330" max="3330" width="21" style="1" customWidth="1"/>
    <col min="3331" max="3342" width="7.5546875" style="1" bestFit="1" customWidth="1"/>
    <col min="3343" max="3344" width="0" style="1" hidden="1" customWidth="1"/>
    <col min="3345" max="3347" width="9.88671875" style="1" customWidth="1"/>
    <col min="3348" max="3584" width="11" style="1"/>
    <col min="3585" max="3585" width="2.88671875" style="1" customWidth="1"/>
    <col min="3586" max="3586" width="21" style="1" customWidth="1"/>
    <col min="3587" max="3598" width="7.5546875" style="1" bestFit="1" customWidth="1"/>
    <col min="3599" max="3600" width="0" style="1" hidden="1" customWidth="1"/>
    <col min="3601" max="3603" width="9.88671875" style="1" customWidth="1"/>
    <col min="3604" max="3840" width="11" style="1"/>
    <col min="3841" max="3841" width="2.88671875" style="1" customWidth="1"/>
    <col min="3842" max="3842" width="21" style="1" customWidth="1"/>
    <col min="3843" max="3854" width="7.5546875" style="1" bestFit="1" customWidth="1"/>
    <col min="3855" max="3856" width="0" style="1" hidden="1" customWidth="1"/>
    <col min="3857" max="3859" width="9.88671875" style="1" customWidth="1"/>
    <col min="3860" max="4096" width="11" style="1"/>
    <col min="4097" max="4097" width="2.88671875" style="1" customWidth="1"/>
    <col min="4098" max="4098" width="21" style="1" customWidth="1"/>
    <col min="4099" max="4110" width="7.5546875" style="1" bestFit="1" customWidth="1"/>
    <col min="4111" max="4112" width="0" style="1" hidden="1" customWidth="1"/>
    <col min="4113" max="4115" width="9.88671875" style="1" customWidth="1"/>
    <col min="4116" max="4352" width="11" style="1"/>
    <col min="4353" max="4353" width="2.88671875" style="1" customWidth="1"/>
    <col min="4354" max="4354" width="21" style="1" customWidth="1"/>
    <col min="4355" max="4366" width="7.5546875" style="1" bestFit="1" customWidth="1"/>
    <col min="4367" max="4368" width="0" style="1" hidden="1" customWidth="1"/>
    <col min="4369" max="4371" width="9.88671875" style="1" customWidth="1"/>
    <col min="4372" max="4608" width="11" style="1"/>
    <col min="4609" max="4609" width="2.88671875" style="1" customWidth="1"/>
    <col min="4610" max="4610" width="21" style="1" customWidth="1"/>
    <col min="4611" max="4622" width="7.5546875" style="1" bestFit="1" customWidth="1"/>
    <col min="4623" max="4624" width="0" style="1" hidden="1" customWidth="1"/>
    <col min="4625" max="4627" width="9.88671875" style="1" customWidth="1"/>
    <col min="4628" max="4864" width="11" style="1"/>
    <col min="4865" max="4865" width="2.88671875" style="1" customWidth="1"/>
    <col min="4866" max="4866" width="21" style="1" customWidth="1"/>
    <col min="4867" max="4878" width="7.5546875" style="1" bestFit="1" customWidth="1"/>
    <col min="4879" max="4880" width="0" style="1" hidden="1" customWidth="1"/>
    <col min="4881" max="4883" width="9.88671875" style="1" customWidth="1"/>
    <col min="4884" max="5120" width="11" style="1"/>
    <col min="5121" max="5121" width="2.88671875" style="1" customWidth="1"/>
    <col min="5122" max="5122" width="21" style="1" customWidth="1"/>
    <col min="5123" max="5134" width="7.5546875" style="1" bestFit="1" customWidth="1"/>
    <col min="5135" max="5136" width="0" style="1" hidden="1" customWidth="1"/>
    <col min="5137" max="5139" width="9.88671875" style="1" customWidth="1"/>
    <col min="5140" max="5376" width="11" style="1"/>
    <col min="5377" max="5377" width="2.88671875" style="1" customWidth="1"/>
    <col min="5378" max="5378" width="21" style="1" customWidth="1"/>
    <col min="5379" max="5390" width="7.5546875" style="1" bestFit="1" customWidth="1"/>
    <col min="5391" max="5392" width="0" style="1" hidden="1" customWidth="1"/>
    <col min="5393" max="5395" width="9.88671875" style="1" customWidth="1"/>
    <col min="5396" max="5632" width="11" style="1"/>
    <col min="5633" max="5633" width="2.88671875" style="1" customWidth="1"/>
    <col min="5634" max="5634" width="21" style="1" customWidth="1"/>
    <col min="5635" max="5646" width="7.5546875" style="1" bestFit="1" customWidth="1"/>
    <col min="5647" max="5648" width="0" style="1" hidden="1" customWidth="1"/>
    <col min="5649" max="5651" width="9.88671875" style="1" customWidth="1"/>
    <col min="5652" max="5888" width="11" style="1"/>
    <col min="5889" max="5889" width="2.88671875" style="1" customWidth="1"/>
    <col min="5890" max="5890" width="21" style="1" customWidth="1"/>
    <col min="5891" max="5902" width="7.5546875" style="1" bestFit="1" customWidth="1"/>
    <col min="5903" max="5904" width="0" style="1" hidden="1" customWidth="1"/>
    <col min="5905" max="5907" width="9.88671875" style="1" customWidth="1"/>
    <col min="5908" max="6144" width="11" style="1"/>
    <col min="6145" max="6145" width="2.88671875" style="1" customWidth="1"/>
    <col min="6146" max="6146" width="21" style="1" customWidth="1"/>
    <col min="6147" max="6158" width="7.5546875" style="1" bestFit="1" customWidth="1"/>
    <col min="6159" max="6160" width="0" style="1" hidden="1" customWidth="1"/>
    <col min="6161" max="6163" width="9.88671875" style="1" customWidth="1"/>
    <col min="6164" max="6400" width="11" style="1"/>
    <col min="6401" max="6401" width="2.88671875" style="1" customWidth="1"/>
    <col min="6402" max="6402" width="21" style="1" customWidth="1"/>
    <col min="6403" max="6414" width="7.5546875" style="1" bestFit="1" customWidth="1"/>
    <col min="6415" max="6416" width="0" style="1" hidden="1" customWidth="1"/>
    <col min="6417" max="6419" width="9.88671875" style="1" customWidth="1"/>
    <col min="6420" max="6656" width="11" style="1"/>
    <col min="6657" max="6657" width="2.88671875" style="1" customWidth="1"/>
    <col min="6658" max="6658" width="21" style="1" customWidth="1"/>
    <col min="6659" max="6670" width="7.5546875" style="1" bestFit="1" customWidth="1"/>
    <col min="6671" max="6672" width="0" style="1" hidden="1" customWidth="1"/>
    <col min="6673" max="6675" width="9.88671875" style="1" customWidth="1"/>
    <col min="6676" max="6912" width="11" style="1"/>
    <col min="6913" max="6913" width="2.88671875" style="1" customWidth="1"/>
    <col min="6914" max="6914" width="21" style="1" customWidth="1"/>
    <col min="6915" max="6926" width="7.5546875" style="1" bestFit="1" customWidth="1"/>
    <col min="6927" max="6928" width="0" style="1" hidden="1" customWidth="1"/>
    <col min="6929" max="6931" width="9.88671875" style="1" customWidth="1"/>
    <col min="6932" max="7168" width="11" style="1"/>
    <col min="7169" max="7169" width="2.88671875" style="1" customWidth="1"/>
    <col min="7170" max="7170" width="21" style="1" customWidth="1"/>
    <col min="7171" max="7182" width="7.5546875" style="1" bestFit="1" customWidth="1"/>
    <col min="7183" max="7184" width="0" style="1" hidden="1" customWidth="1"/>
    <col min="7185" max="7187" width="9.88671875" style="1" customWidth="1"/>
    <col min="7188" max="7424" width="11" style="1"/>
    <col min="7425" max="7425" width="2.88671875" style="1" customWidth="1"/>
    <col min="7426" max="7426" width="21" style="1" customWidth="1"/>
    <col min="7427" max="7438" width="7.5546875" style="1" bestFit="1" customWidth="1"/>
    <col min="7439" max="7440" width="0" style="1" hidden="1" customWidth="1"/>
    <col min="7441" max="7443" width="9.88671875" style="1" customWidth="1"/>
    <col min="7444" max="7680" width="11" style="1"/>
    <col min="7681" max="7681" width="2.88671875" style="1" customWidth="1"/>
    <col min="7682" max="7682" width="21" style="1" customWidth="1"/>
    <col min="7683" max="7694" width="7.5546875" style="1" bestFit="1" customWidth="1"/>
    <col min="7695" max="7696" width="0" style="1" hidden="1" customWidth="1"/>
    <col min="7697" max="7699" width="9.88671875" style="1" customWidth="1"/>
    <col min="7700" max="7936" width="11" style="1"/>
    <col min="7937" max="7937" width="2.88671875" style="1" customWidth="1"/>
    <col min="7938" max="7938" width="21" style="1" customWidth="1"/>
    <col min="7939" max="7950" width="7.5546875" style="1" bestFit="1" customWidth="1"/>
    <col min="7951" max="7952" width="0" style="1" hidden="1" customWidth="1"/>
    <col min="7953" max="7955" width="9.88671875" style="1" customWidth="1"/>
    <col min="7956" max="8192" width="11" style="1"/>
    <col min="8193" max="8193" width="2.88671875" style="1" customWidth="1"/>
    <col min="8194" max="8194" width="21" style="1" customWidth="1"/>
    <col min="8195" max="8206" width="7.5546875" style="1" bestFit="1" customWidth="1"/>
    <col min="8207" max="8208" width="0" style="1" hidden="1" customWidth="1"/>
    <col min="8209" max="8211" width="9.88671875" style="1" customWidth="1"/>
    <col min="8212" max="8448" width="11" style="1"/>
    <col min="8449" max="8449" width="2.88671875" style="1" customWidth="1"/>
    <col min="8450" max="8450" width="21" style="1" customWidth="1"/>
    <col min="8451" max="8462" width="7.5546875" style="1" bestFit="1" customWidth="1"/>
    <col min="8463" max="8464" width="0" style="1" hidden="1" customWidth="1"/>
    <col min="8465" max="8467" width="9.88671875" style="1" customWidth="1"/>
    <col min="8468" max="8704" width="11" style="1"/>
    <col min="8705" max="8705" width="2.88671875" style="1" customWidth="1"/>
    <col min="8706" max="8706" width="21" style="1" customWidth="1"/>
    <col min="8707" max="8718" width="7.5546875" style="1" bestFit="1" customWidth="1"/>
    <col min="8719" max="8720" width="0" style="1" hidden="1" customWidth="1"/>
    <col min="8721" max="8723" width="9.88671875" style="1" customWidth="1"/>
    <col min="8724" max="8960" width="11" style="1"/>
    <col min="8961" max="8961" width="2.88671875" style="1" customWidth="1"/>
    <col min="8962" max="8962" width="21" style="1" customWidth="1"/>
    <col min="8963" max="8974" width="7.5546875" style="1" bestFit="1" customWidth="1"/>
    <col min="8975" max="8976" width="0" style="1" hidden="1" customWidth="1"/>
    <col min="8977" max="8979" width="9.88671875" style="1" customWidth="1"/>
    <col min="8980" max="9216" width="11" style="1"/>
    <col min="9217" max="9217" width="2.88671875" style="1" customWidth="1"/>
    <col min="9218" max="9218" width="21" style="1" customWidth="1"/>
    <col min="9219" max="9230" width="7.5546875" style="1" bestFit="1" customWidth="1"/>
    <col min="9231" max="9232" width="0" style="1" hidden="1" customWidth="1"/>
    <col min="9233" max="9235" width="9.88671875" style="1" customWidth="1"/>
    <col min="9236" max="9472" width="11" style="1"/>
    <col min="9473" max="9473" width="2.88671875" style="1" customWidth="1"/>
    <col min="9474" max="9474" width="21" style="1" customWidth="1"/>
    <col min="9475" max="9486" width="7.5546875" style="1" bestFit="1" customWidth="1"/>
    <col min="9487" max="9488" width="0" style="1" hidden="1" customWidth="1"/>
    <col min="9489" max="9491" width="9.88671875" style="1" customWidth="1"/>
    <col min="9492" max="9728" width="11" style="1"/>
    <col min="9729" max="9729" width="2.88671875" style="1" customWidth="1"/>
    <col min="9730" max="9730" width="21" style="1" customWidth="1"/>
    <col min="9731" max="9742" width="7.5546875" style="1" bestFit="1" customWidth="1"/>
    <col min="9743" max="9744" width="0" style="1" hidden="1" customWidth="1"/>
    <col min="9745" max="9747" width="9.88671875" style="1" customWidth="1"/>
    <col min="9748" max="9984" width="11" style="1"/>
    <col min="9985" max="9985" width="2.88671875" style="1" customWidth="1"/>
    <col min="9986" max="9986" width="21" style="1" customWidth="1"/>
    <col min="9987" max="9998" width="7.5546875" style="1" bestFit="1" customWidth="1"/>
    <col min="9999" max="10000" width="0" style="1" hidden="1" customWidth="1"/>
    <col min="10001" max="10003" width="9.88671875" style="1" customWidth="1"/>
    <col min="10004" max="10240" width="11" style="1"/>
    <col min="10241" max="10241" width="2.88671875" style="1" customWidth="1"/>
    <col min="10242" max="10242" width="21" style="1" customWidth="1"/>
    <col min="10243" max="10254" width="7.5546875" style="1" bestFit="1" customWidth="1"/>
    <col min="10255" max="10256" width="0" style="1" hidden="1" customWidth="1"/>
    <col min="10257" max="10259" width="9.88671875" style="1" customWidth="1"/>
    <col min="10260" max="10496" width="11" style="1"/>
    <col min="10497" max="10497" width="2.88671875" style="1" customWidth="1"/>
    <col min="10498" max="10498" width="21" style="1" customWidth="1"/>
    <col min="10499" max="10510" width="7.5546875" style="1" bestFit="1" customWidth="1"/>
    <col min="10511" max="10512" width="0" style="1" hidden="1" customWidth="1"/>
    <col min="10513" max="10515" width="9.88671875" style="1" customWidth="1"/>
    <col min="10516" max="10752" width="11" style="1"/>
    <col min="10753" max="10753" width="2.88671875" style="1" customWidth="1"/>
    <col min="10754" max="10754" width="21" style="1" customWidth="1"/>
    <col min="10755" max="10766" width="7.5546875" style="1" bestFit="1" customWidth="1"/>
    <col min="10767" max="10768" width="0" style="1" hidden="1" customWidth="1"/>
    <col min="10769" max="10771" width="9.88671875" style="1" customWidth="1"/>
    <col min="10772" max="11008" width="11" style="1"/>
    <col min="11009" max="11009" width="2.88671875" style="1" customWidth="1"/>
    <col min="11010" max="11010" width="21" style="1" customWidth="1"/>
    <col min="11011" max="11022" width="7.5546875" style="1" bestFit="1" customWidth="1"/>
    <col min="11023" max="11024" width="0" style="1" hidden="1" customWidth="1"/>
    <col min="11025" max="11027" width="9.88671875" style="1" customWidth="1"/>
    <col min="11028" max="11264" width="11" style="1"/>
    <col min="11265" max="11265" width="2.88671875" style="1" customWidth="1"/>
    <col min="11266" max="11266" width="21" style="1" customWidth="1"/>
    <col min="11267" max="11278" width="7.5546875" style="1" bestFit="1" customWidth="1"/>
    <col min="11279" max="11280" width="0" style="1" hidden="1" customWidth="1"/>
    <col min="11281" max="11283" width="9.88671875" style="1" customWidth="1"/>
    <col min="11284" max="11520" width="11" style="1"/>
    <col min="11521" max="11521" width="2.88671875" style="1" customWidth="1"/>
    <col min="11522" max="11522" width="21" style="1" customWidth="1"/>
    <col min="11523" max="11534" width="7.5546875" style="1" bestFit="1" customWidth="1"/>
    <col min="11535" max="11536" width="0" style="1" hidden="1" customWidth="1"/>
    <col min="11537" max="11539" width="9.88671875" style="1" customWidth="1"/>
    <col min="11540" max="11776" width="11" style="1"/>
    <col min="11777" max="11777" width="2.88671875" style="1" customWidth="1"/>
    <col min="11778" max="11778" width="21" style="1" customWidth="1"/>
    <col min="11779" max="11790" width="7.5546875" style="1" bestFit="1" customWidth="1"/>
    <col min="11791" max="11792" width="0" style="1" hidden="1" customWidth="1"/>
    <col min="11793" max="11795" width="9.88671875" style="1" customWidth="1"/>
    <col min="11796" max="12032" width="11" style="1"/>
    <col min="12033" max="12033" width="2.88671875" style="1" customWidth="1"/>
    <col min="12034" max="12034" width="21" style="1" customWidth="1"/>
    <col min="12035" max="12046" width="7.5546875" style="1" bestFit="1" customWidth="1"/>
    <col min="12047" max="12048" width="0" style="1" hidden="1" customWidth="1"/>
    <col min="12049" max="12051" width="9.88671875" style="1" customWidth="1"/>
    <col min="12052" max="12288" width="11" style="1"/>
    <col min="12289" max="12289" width="2.88671875" style="1" customWidth="1"/>
    <col min="12290" max="12290" width="21" style="1" customWidth="1"/>
    <col min="12291" max="12302" width="7.5546875" style="1" bestFit="1" customWidth="1"/>
    <col min="12303" max="12304" width="0" style="1" hidden="1" customWidth="1"/>
    <col min="12305" max="12307" width="9.88671875" style="1" customWidth="1"/>
    <col min="12308" max="12544" width="11" style="1"/>
    <col min="12545" max="12545" width="2.88671875" style="1" customWidth="1"/>
    <col min="12546" max="12546" width="21" style="1" customWidth="1"/>
    <col min="12547" max="12558" width="7.5546875" style="1" bestFit="1" customWidth="1"/>
    <col min="12559" max="12560" width="0" style="1" hidden="1" customWidth="1"/>
    <col min="12561" max="12563" width="9.88671875" style="1" customWidth="1"/>
    <col min="12564" max="12800" width="11" style="1"/>
    <col min="12801" max="12801" width="2.88671875" style="1" customWidth="1"/>
    <col min="12802" max="12802" width="21" style="1" customWidth="1"/>
    <col min="12803" max="12814" width="7.5546875" style="1" bestFit="1" customWidth="1"/>
    <col min="12815" max="12816" width="0" style="1" hidden="1" customWidth="1"/>
    <col min="12817" max="12819" width="9.88671875" style="1" customWidth="1"/>
    <col min="12820" max="13056" width="11" style="1"/>
    <col min="13057" max="13057" width="2.88671875" style="1" customWidth="1"/>
    <col min="13058" max="13058" width="21" style="1" customWidth="1"/>
    <col min="13059" max="13070" width="7.5546875" style="1" bestFit="1" customWidth="1"/>
    <col min="13071" max="13072" width="0" style="1" hidden="1" customWidth="1"/>
    <col min="13073" max="13075" width="9.88671875" style="1" customWidth="1"/>
    <col min="13076" max="13312" width="11" style="1"/>
    <col min="13313" max="13313" width="2.88671875" style="1" customWidth="1"/>
    <col min="13314" max="13314" width="21" style="1" customWidth="1"/>
    <col min="13315" max="13326" width="7.5546875" style="1" bestFit="1" customWidth="1"/>
    <col min="13327" max="13328" width="0" style="1" hidden="1" customWidth="1"/>
    <col min="13329" max="13331" width="9.88671875" style="1" customWidth="1"/>
    <col min="13332" max="13568" width="11" style="1"/>
    <col min="13569" max="13569" width="2.88671875" style="1" customWidth="1"/>
    <col min="13570" max="13570" width="21" style="1" customWidth="1"/>
    <col min="13571" max="13582" width="7.5546875" style="1" bestFit="1" customWidth="1"/>
    <col min="13583" max="13584" width="0" style="1" hidden="1" customWidth="1"/>
    <col min="13585" max="13587" width="9.88671875" style="1" customWidth="1"/>
    <col min="13588" max="13824" width="11" style="1"/>
    <col min="13825" max="13825" width="2.88671875" style="1" customWidth="1"/>
    <col min="13826" max="13826" width="21" style="1" customWidth="1"/>
    <col min="13827" max="13838" width="7.5546875" style="1" bestFit="1" customWidth="1"/>
    <col min="13839" max="13840" width="0" style="1" hidden="1" customWidth="1"/>
    <col min="13841" max="13843" width="9.88671875" style="1" customWidth="1"/>
    <col min="13844" max="14080" width="11" style="1"/>
    <col min="14081" max="14081" width="2.88671875" style="1" customWidth="1"/>
    <col min="14082" max="14082" width="21" style="1" customWidth="1"/>
    <col min="14083" max="14094" width="7.5546875" style="1" bestFit="1" customWidth="1"/>
    <col min="14095" max="14096" width="0" style="1" hidden="1" customWidth="1"/>
    <col min="14097" max="14099" width="9.88671875" style="1" customWidth="1"/>
    <col min="14100" max="14336" width="11" style="1"/>
    <col min="14337" max="14337" width="2.88671875" style="1" customWidth="1"/>
    <col min="14338" max="14338" width="21" style="1" customWidth="1"/>
    <col min="14339" max="14350" width="7.5546875" style="1" bestFit="1" customWidth="1"/>
    <col min="14351" max="14352" width="0" style="1" hidden="1" customWidth="1"/>
    <col min="14353" max="14355" width="9.88671875" style="1" customWidth="1"/>
    <col min="14356" max="14592" width="11" style="1"/>
    <col min="14593" max="14593" width="2.88671875" style="1" customWidth="1"/>
    <col min="14594" max="14594" width="21" style="1" customWidth="1"/>
    <col min="14595" max="14606" width="7.5546875" style="1" bestFit="1" customWidth="1"/>
    <col min="14607" max="14608" width="0" style="1" hidden="1" customWidth="1"/>
    <col min="14609" max="14611" width="9.88671875" style="1" customWidth="1"/>
    <col min="14612" max="14848" width="11" style="1"/>
    <col min="14849" max="14849" width="2.88671875" style="1" customWidth="1"/>
    <col min="14850" max="14850" width="21" style="1" customWidth="1"/>
    <col min="14851" max="14862" width="7.5546875" style="1" bestFit="1" customWidth="1"/>
    <col min="14863" max="14864" width="0" style="1" hidden="1" customWidth="1"/>
    <col min="14865" max="14867" width="9.88671875" style="1" customWidth="1"/>
    <col min="14868" max="15104" width="11" style="1"/>
    <col min="15105" max="15105" width="2.88671875" style="1" customWidth="1"/>
    <col min="15106" max="15106" width="21" style="1" customWidth="1"/>
    <col min="15107" max="15118" width="7.5546875" style="1" bestFit="1" customWidth="1"/>
    <col min="15119" max="15120" width="0" style="1" hidden="1" customWidth="1"/>
    <col min="15121" max="15123" width="9.88671875" style="1" customWidth="1"/>
    <col min="15124" max="15360" width="11" style="1"/>
    <col min="15361" max="15361" width="2.88671875" style="1" customWidth="1"/>
    <col min="15362" max="15362" width="21" style="1" customWidth="1"/>
    <col min="15363" max="15374" width="7.5546875" style="1" bestFit="1" customWidth="1"/>
    <col min="15375" max="15376" width="0" style="1" hidden="1" customWidth="1"/>
    <col min="15377" max="15379" width="9.88671875" style="1" customWidth="1"/>
    <col min="15380" max="15616" width="11" style="1"/>
    <col min="15617" max="15617" width="2.88671875" style="1" customWidth="1"/>
    <col min="15618" max="15618" width="21" style="1" customWidth="1"/>
    <col min="15619" max="15630" width="7.5546875" style="1" bestFit="1" customWidth="1"/>
    <col min="15631" max="15632" width="0" style="1" hidden="1" customWidth="1"/>
    <col min="15633" max="15635" width="9.88671875" style="1" customWidth="1"/>
    <col min="15636" max="15872" width="11" style="1"/>
    <col min="15873" max="15873" width="2.88671875" style="1" customWidth="1"/>
    <col min="15874" max="15874" width="21" style="1" customWidth="1"/>
    <col min="15875" max="15886" width="7.5546875" style="1" bestFit="1" customWidth="1"/>
    <col min="15887" max="15888" width="0" style="1" hidden="1" customWidth="1"/>
    <col min="15889" max="15891" width="9.88671875" style="1" customWidth="1"/>
    <col min="15892" max="16128" width="11" style="1"/>
    <col min="16129" max="16129" width="2.88671875" style="1" customWidth="1"/>
    <col min="16130" max="16130" width="21" style="1" customWidth="1"/>
    <col min="16131" max="16142" width="7.5546875" style="1" bestFit="1" customWidth="1"/>
    <col min="16143" max="16144" width="0" style="1" hidden="1" customWidth="1"/>
    <col min="16145" max="16147" width="9.88671875" style="1" customWidth="1"/>
    <col min="16148" max="16384" width="11" style="1"/>
  </cols>
  <sheetData>
    <row r="1" spans="1:21" s="110" customFormat="1" ht="18" x14ac:dyDescent="0.35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21" x14ac:dyDescent="0.15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21" ht="13.8" thickBot="1" x14ac:dyDescent="0.3">
      <c r="A3" s="444" t="s">
        <v>1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</row>
    <row r="4" spans="1:21" s="71" customFormat="1" ht="9.9" customHeight="1" thickTop="1" x14ac:dyDescent="0.2">
      <c r="A4" s="430" t="s">
        <v>2</v>
      </c>
      <c r="B4" s="432" t="s">
        <v>3</v>
      </c>
      <c r="C4" s="441" t="s">
        <v>94</v>
      </c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2"/>
      <c r="O4" s="141"/>
      <c r="P4" s="141" t="s">
        <v>95</v>
      </c>
    </row>
    <row r="5" spans="1:21" s="71" customFormat="1" ht="9.9" customHeight="1" x14ac:dyDescent="0.2">
      <c r="A5" s="431"/>
      <c r="B5" s="433"/>
      <c r="C5" s="111" t="s">
        <v>5</v>
      </c>
      <c r="D5" s="111" t="s">
        <v>6</v>
      </c>
      <c r="E5" s="111" t="s">
        <v>7</v>
      </c>
      <c r="F5" s="111" t="s">
        <v>8</v>
      </c>
      <c r="G5" s="111" t="s">
        <v>9</v>
      </c>
      <c r="H5" s="111" t="s">
        <v>10</v>
      </c>
      <c r="I5" s="111" t="s">
        <v>11</v>
      </c>
      <c r="J5" s="111" t="s">
        <v>12</v>
      </c>
      <c r="K5" s="111" t="s">
        <v>13</v>
      </c>
      <c r="L5" s="111" t="s">
        <v>14</v>
      </c>
      <c r="M5" s="111" t="s">
        <v>15</v>
      </c>
      <c r="N5" s="112" t="s">
        <v>16</v>
      </c>
      <c r="O5" s="142" t="s">
        <v>96</v>
      </c>
      <c r="P5" s="142" t="s">
        <v>97</v>
      </c>
    </row>
    <row r="6" spans="1:21" s="71" customFormat="1" ht="9.6" customHeight="1" x14ac:dyDescent="0.2">
      <c r="A6" s="113">
        <v>1</v>
      </c>
      <c r="B6" s="114" t="s">
        <v>17</v>
      </c>
      <c r="C6" s="76">
        <v>47649.7</v>
      </c>
      <c r="D6" s="76">
        <v>47409.7</v>
      </c>
      <c r="E6" s="76">
        <v>47739.7</v>
      </c>
      <c r="F6" s="76">
        <v>47669.7</v>
      </c>
      <c r="G6" s="76">
        <v>47399.7</v>
      </c>
      <c r="H6" s="76">
        <v>46829.7</v>
      </c>
      <c r="I6" s="76">
        <v>46829.7</v>
      </c>
      <c r="J6" s="76">
        <v>46829.7</v>
      </c>
      <c r="K6" s="76">
        <v>48069.697000000007</v>
      </c>
      <c r="L6" s="76">
        <v>48429.7</v>
      </c>
      <c r="M6" s="76">
        <v>48429.7</v>
      </c>
      <c r="N6" s="77">
        <v>49429.599999999999</v>
      </c>
      <c r="O6" s="91">
        <f>O7+O10</f>
        <v>47494.899999999994</v>
      </c>
      <c r="P6" s="143" t="e">
        <f>O6-#REF!</f>
        <v>#REF!</v>
      </c>
    </row>
    <row r="7" spans="1:21" s="82" customFormat="1" ht="9.6" customHeight="1" x14ac:dyDescent="0.2">
      <c r="A7" s="115"/>
      <c r="B7" s="116" t="s">
        <v>18</v>
      </c>
      <c r="C7" s="80">
        <v>45739.7</v>
      </c>
      <c r="D7" s="80">
        <v>45374.7</v>
      </c>
      <c r="E7" s="80">
        <v>45232.4</v>
      </c>
      <c r="F7" s="80">
        <v>44643.8</v>
      </c>
      <c r="G7" s="80">
        <v>43867.6</v>
      </c>
      <c r="H7" s="80">
        <v>43200.1</v>
      </c>
      <c r="I7" s="80">
        <v>43096.800000000003</v>
      </c>
      <c r="J7" s="80">
        <v>43546.8</v>
      </c>
      <c r="K7" s="80">
        <v>45376.797000000006</v>
      </c>
      <c r="L7" s="80">
        <v>46001.8</v>
      </c>
      <c r="M7" s="80">
        <v>46126.8</v>
      </c>
      <c r="N7" s="81">
        <v>45958.7</v>
      </c>
      <c r="O7" s="83">
        <f>O8+O9</f>
        <v>45415.7</v>
      </c>
      <c r="P7" s="144" t="e">
        <f>O7-#REF!</f>
        <v>#REF!</v>
      </c>
      <c r="U7" s="83"/>
    </row>
    <row r="8" spans="1:21" s="89" customFormat="1" ht="9.6" customHeight="1" x14ac:dyDescent="0.2">
      <c r="A8" s="117"/>
      <c r="B8" s="118" t="s">
        <v>19</v>
      </c>
      <c r="C8" s="86">
        <v>10657.9</v>
      </c>
      <c r="D8" s="86">
        <v>6532.9</v>
      </c>
      <c r="E8" s="86">
        <v>10424.6</v>
      </c>
      <c r="F8" s="86">
        <v>7753.2</v>
      </c>
      <c r="G8" s="86">
        <v>7485.2</v>
      </c>
      <c r="H8" s="86">
        <v>5465.2</v>
      </c>
      <c r="I8" s="86">
        <v>5015.2</v>
      </c>
      <c r="J8" s="86">
        <v>8415.5</v>
      </c>
      <c r="K8" s="86">
        <v>10219.496999999999</v>
      </c>
      <c r="L8" s="86">
        <v>10769.5</v>
      </c>
      <c r="M8" s="86">
        <v>7339.5</v>
      </c>
      <c r="N8" s="106">
        <v>9804.4</v>
      </c>
      <c r="O8" s="90">
        <v>19828</v>
      </c>
      <c r="P8" s="145" t="e">
        <f>O8-#REF!</f>
        <v>#REF!</v>
      </c>
      <c r="U8" s="90"/>
    </row>
    <row r="9" spans="1:21" s="89" customFormat="1" ht="9.6" customHeight="1" x14ac:dyDescent="0.2">
      <c r="A9" s="117"/>
      <c r="B9" s="118" t="s">
        <v>23</v>
      </c>
      <c r="C9" s="86">
        <v>35081.800000000003</v>
      </c>
      <c r="D9" s="86">
        <v>38841.800000000003</v>
      </c>
      <c r="E9" s="86">
        <v>34807.800000000003</v>
      </c>
      <c r="F9" s="86">
        <v>36890.6</v>
      </c>
      <c r="G9" s="86">
        <v>36382.400000000001</v>
      </c>
      <c r="H9" s="86">
        <v>37734.9</v>
      </c>
      <c r="I9" s="86">
        <v>38081.599999999999</v>
      </c>
      <c r="J9" s="86">
        <v>35131.300000000003</v>
      </c>
      <c r="K9" s="86">
        <v>35157.300000000003</v>
      </c>
      <c r="L9" s="86">
        <v>35232.300000000003</v>
      </c>
      <c r="M9" s="86">
        <v>38787.300000000003</v>
      </c>
      <c r="N9" s="106">
        <v>36154.300000000003</v>
      </c>
      <c r="O9" s="146">
        <v>25587.7</v>
      </c>
      <c r="P9" s="145" t="e">
        <f>O9-#REF!</f>
        <v>#REF!</v>
      </c>
    </row>
    <row r="10" spans="1:21" s="82" customFormat="1" ht="9.6" customHeight="1" x14ac:dyDescent="0.2">
      <c r="A10" s="115"/>
      <c r="B10" s="116" t="s">
        <v>24</v>
      </c>
      <c r="C10" s="107">
        <v>1910</v>
      </c>
      <c r="D10" s="107">
        <v>2035</v>
      </c>
      <c r="E10" s="107">
        <v>2507.3000000000002</v>
      </c>
      <c r="F10" s="107">
        <v>3025.9</v>
      </c>
      <c r="G10" s="107">
        <v>3532.1</v>
      </c>
      <c r="H10" s="107">
        <v>3629.6</v>
      </c>
      <c r="I10" s="107">
        <v>3732.9</v>
      </c>
      <c r="J10" s="107">
        <v>3282.9</v>
      </c>
      <c r="K10" s="107">
        <v>2692.9</v>
      </c>
      <c r="L10" s="107">
        <v>2427.9</v>
      </c>
      <c r="M10" s="107">
        <v>2302.9</v>
      </c>
      <c r="N10" s="108">
        <v>3470.9</v>
      </c>
      <c r="O10" s="147">
        <v>2079.1999999999998</v>
      </c>
      <c r="P10" s="144" t="e">
        <f>O10-#REF!</f>
        <v>#REF!</v>
      </c>
      <c r="U10" s="83"/>
    </row>
    <row r="11" spans="1:21" s="89" customFormat="1" ht="9.6" customHeight="1" x14ac:dyDescent="0.2">
      <c r="A11" s="117"/>
      <c r="B11" s="118" t="s">
        <v>25</v>
      </c>
      <c r="C11" s="87">
        <v>970</v>
      </c>
      <c r="D11" s="87">
        <v>870</v>
      </c>
      <c r="E11" s="87">
        <v>990</v>
      </c>
      <c r="F11" s="87">
        <v>1181.7</v>
      </c>
      <c r="G11" s="87">
        <v>1471.7</v>
      </c>
      <c r="H11" s="87">
        <v>1401.7</v>
      </c>
      <c r="I11" s="87">
        <v>1430</v>
      </c>
      <c r="J11" s="87">
        <v>1180</v>
      </c>
      <c r="K11" s="87">
        <v>870</v>
      </c>
      <c r="L11" s="87">
        <v>580</v>
      </c>
      <c r="M11" s="87">
        <v>580</v>
      </c>
      <c r="N11" s="88">
        <v>690</v>
      </c>
      <c r="O11" s="148">
        <v>466.7</v>
      </c>
      <c r="P11" s="144" t="e">
        <f>O11-#REF!</f>
        <v>#REF!</v>
      </c>
      <c r="U11" s="90"/>
    </row>
    <row r="12" spans="1:21" s="71" customFormat="1" ht="9.6" customHeight="1" x14ac:dyDescent="0.2">
      <c r="A12" s="113">
        <v>2</v>
      </c>
      <c r="B12" s="114" t="s">
        <v>26</v>
      </c>
      <c r="C12" s="76">
        <v>16059.2</v>
      </c>
      <c r="D12" s="76">
        <v>16059.2</v>
      </c>
      <c r="E12" s="76">
        <v>16059.2</v>
      </c>
      <c r="F12" s="76">
        <v>16059.2</v>
      </c>
      <c r="G12" s="76">
        <v>16059.2</v>
      </c>
      <c r="H12" s="76">
        <v>16059.2</v>
      </c>
      <c r="I12" s="76">
        <v>16059.2</v>
      </c>
      <c r="J12" s="76">
        <v>16059.2</v>
      </c>
      <c r="K12" s="76">
        <v>16059.2</v>
      </c>
      <c r="L12" s="76">
        <v>16059.2</v>
      </c>
      <c r="M12" s="76">
        <v>16059.2</v>
      </c>
      <c r="N12" s="77">
        <v>17549.2</v>
      </c>
      <c r="O12" s="91">
        <f>O13+O16</f>
        <v>12440.7</v>
      </c>
      <c r="P12" s="143" t="e">
        <f>O12-#REF!</f>
        <v>#REF!</v>
      </c>
      <c r="U12" s="91"/>
    </row>
    <row r="13" spans="1:21" s="82" customFormat="1" ht="9.6" customHeight="1" x14ac:dyDescent="0.2">
      <c r="A13" s="115"/>
      <c r="B13" s="116" t="s">
        <v>18</v>
      </c>
      <c r="C13" s="80">
        <v>8826.9</v>
      </c>
      <c r="D13" s="80">
        <v>8762.2000000000007</v>
      </c>
      <c r="E13" s="80">
        <v>8762.2000000000007</v>
      </c>
      <c r="F13" s="80">
        <v>8762.2000000000007</v>
      </c>
      <c r="G13" s="80">
        <v>8765</v>
      </c>
      <c r="H13" s="80">
        <v>8765</v>
      </c>
      <c r="I13" s="80">
        <v>8765</v>
      </c>
      <c r="J13" s="80">
        <v>9545.2000000000007</v>
      </c>
      <c r="K13" s="80">
        <v>9545.2000000000007</v>
      </c>
      <c r="L13" s="80">
        <v>9545.2000000000007</v>
      </c>
      <c r="M13" s="80">
        <v>9647.7000000000007</v>
      </c>
      <c r="N13" s="81">
        <v>9885.7000000000007</v>
      </c>
      <c r="O13" s="83">
        <f>O14+O15</f>
        <v>8859.3000000000011</v>
      </c>
      <c r="P13" s="144" t="e">
        <f>O13-#REF!</f>
        <v>#REF!</v>
      </c>
      <c r="R13" s="83"/>
      <c r="S13" s="83"/>
      <c r="U13" s="83"/>
    </row>
    <row r="14" spans="1:21" s="89" customFormat="1" ht="9.6" customHeight="1" x14ac:dyDescent="0.2">
      <c r="A14" s="117"/>
      <c r="B14" s="118" t="s">
        <v>53</v>
      </c>
      <c r="C14" s="86">
        <v>1586</v>
      </c>
      <c r="D14" s="86">
        <v>1521.3</v>
      </c>
      <c r="E14" s="86">
        <v>1521.3</v>
      </c>
      <c r="F14" s="86">
        <v>1521.3</v>
      </c>
      <c r="G14" s="86">
        <v>1524.1</v>
      </c>
      <c r="H14" s="86">
        <v>1524.1</v>
      </c>
      <c r="I14" s="86">
        <v>1524.1</v>
      </c>
      <c r="J14" s="86">
        <v>3068.7</v>
      </c>
      <c r="K14" s="86">
        <v>3068.7</v>
      </c>
      <c r="L14" s="86">
        <v>3068.7</v>
      </c>
      <c r="M14" s="86">
        <v>3758.7</v>
      </c>
      <c r="N14" s="106">
        <v>3298.3</v>
      </c>
      <c r="O14" s="146">
        <v>1865.7</v>
      </c>
      <c r="P14" s="145" t="e">
        <f>O14-#REF!</f>
        <v>#REF!</v>
      </c>
      <c r="R14" s="90"/>
      <c r="S14" s="90"/>
      <c r="U14" s="90"/>
    </row>
    <row r="15" spans="1:21" s="89" customFormat="1" ht="9.6" customHeight="1" x14ac:dyDescent="0.2">
      <c r="A15" s="117"/>
      <c r="B15" s="118" t="s">
        <v>23</v>
      </c>
      <c r="C15" s="86">
        <v>7240.9</v>
      </c>
      <c r="D15" s="86">
        <v>7240.9</v>
      </c>
      <c r="E15" s="86">
        <v>7240.9</v>
      </c>
      <c r="F15" s="86">
        <v>7240.9</v>
      </c>
      <c r="G15" s="86">
        <v>7240.9</v>
      </c>
      <c r="H15" s="86">
        <v>7240.9</v>
      </c>
      <c r="I15" s="86">
        <v>7240.9</v>
      </c>
      <c r="J15" s="86">
        <v>6476.5</v>
      </c>
      <c r="K15" s="86">
        <v>6476.5</v>
      </c>
      <c r="L15" s="86">
        <v>6476.5</v>
      </c>
      <c r="M15" s="86">
        <v>5889</v>
      </c>
      <c r="N15" s="106">
        <v>6587.4</v>
      </c>
      <c r="O15" s="146">
        <v>6993.6</v>
      </c>
      <c r="P15" s="145" t="e">
        <f>O15-#REF!</f>
        <v>#REF!</v>
      </c>
      <c r="U15" s="90"/>
    </row>
    <row r="16" spans="1:21" s="82" customFormat="1" ht="9.6" customHeight="1" x14ac:dyDescent="0.2">
      <c r="A16" s="115"/>
      <c r="B16" s="116" t="s">
        <v>54</v>
      </c>
      <c r="C16" s="107">
        <v>7232.3</v>
      </c>
      <c r="D16" s="107">
        <v>7297</v>
      </c>
      <c r="E16" s="107">
        <v>7297</v>
      </c>
      <c r="F16" s="107">
        <v>7297</v>
      </c>
      <c r="G16" s="107">
        <v>7294.2</v>
      </c>
      <c r="H16" s="107">
        <v>7294.2</v>
      </c>
      <c r="I16" s="107">
        <v>7294.2</v>
      </c>
      <c r="J16" s="107">
        <v>6514</v>
      </c>
      <c r="K16" s="107">
        <v>6514</v>
      </c>
      <c r="L16" s="107">
        <v>6514</v>
      </c>
      <c r="M16" s="107">
        <v>6411.5</v>
      </c>
      <c r="N16" s="108">
        <v>7663.5</v>
      </c>
      <c r="O16" s="147">
        <v>3581.4</v>
      </c>
      <c r="P16" s="144" t="e">
        <f>O16-#REF!</f>
        <v>#REF!</v>
      </c>
      <c r="R16" s="83"/>
      <c r="S16" s="83"/>
      <c r="U16" s="83"/>
    </row>
    <row r="17" spans="1:21" s="71" customFormat="1" ht="9.6" customHeight="1" x14ac:dyDescent="0.2">
      <c r="A17" s="113">
        <v>3</v>
      </c>
      <c r="B17" s="114" t="s">
        <v>83</v>
      </c>
      <c r="C17" s="76">
        <v>9629.7999999999993</v>
      </c>
      <c r="D17" s="76">
        <v>9629.7999999999993</v>
      </c>
      <c r="E17" s="76">
        <v>9629.7999999999993</v>
      </c>
      <c r="F17" s="76">
        <v>9629.7999999999993</v>
      </c>
      <c r="G17" s="76">
        <v>9629.7999999999993</v>
      </c>
      <c r="H17" s="76">
        <v>9629.7999999999993</v>
      </c>
      <c r="I17" s="76">
        <v>9629.7999999999993</v>
      </c>
      <c r="J17" s="76">
        <v>9629.7999999999993</v>
      </c>
      <c r="K17" s="76">
        <v>10029.799999999999</v>
      </c>
      <c r="L17" s="76">
        <v>10029.799999999999</v>
      </c>
      <c r="M17" s="76">
        <v>10029.799999999999</v>
      </c>
      <c r="N17" s="77">
        <v>9029.7999999999993</v>
      </c>
      <c r="O17" s="91">
        <f>O18+O21</f>
        <v>10659.800000000001</v>
      </c>
      <c r="P17" s="143" t="e">
        <f>O17-#REF!</f>
        <v>#REF!</v>
      </c>
      <c r="R17" s="91"/>
      <c r="S17" s="91"/>
      <c r="U17" s="91"/>
    </row>
    <row r="18" spans="1:21" s="82" customFormat="1" ht="9.6" customHeight="1" x14ac:dyDescent="0.2">
      <c r="A18" s="115"/>
      <c r="B18" s="116" t="s">
        <v>18</v>
      </c>
      <c r="C18" s="80">
        <v>110</v>
      </c>
      <c r="D18" s="80">
        <v>110</v>
      </c>
      <c r="E18" s="80">
        <v>110</v>
      </c>
      <c r="F18" s="80">
        <v>110</v>
      </c>
      <c r="G18" s="80">
        <v>110</v>
      </c>
      <c r="H18" s="80">
        <v>110</v>
      </c>
      <c r="I18" s="80">
        <v>110</v>
      </c>
      <c r="J18" s="80">
        <v>110</v>
      </c>
      <c r="K18" s="80">
        <v>242.8</v>
      </c>
      <c r="L18" s="80">
        <v>239.6</v>
      </c>
      <c r="M18" s="80">
        <v>164.5</v>
      </c>
      <c r="N18" s="81">
        <v>450.8</v>
      </c>
      <c r="O18" s="83">
        <f>O19+O20</f>
        <v>110.7</v>
      </c>
      <c r="P18" s="144" t="e">
        <f>O18-#REF!</f>
        <v>#REF!</v>
      </c>
      <c r="U18" s="83"/>
    </row>
    <row r="19" spans="1:21" s="89" customFormat="1" ht="9.6" customHeight="1" x14ac:dyDescent="0.2">
      <c r="A19" s="117"/>
      <c r="B19" s="118" t="s">
        <v>19</v>
      </c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132.80000000000001</v>
      </c>
      <c r="L19" s="86">
        <v>129.6</v>
      </c>
      <c r="M19" s="86">
        <v>54.5</v>
      </c>
      <c r="N19" s="106">
        <v>340.8</v>
      </c>
      <c r="O19" s="146">
        <v>0.7</v>
      </c>
      <c r="P19" s="145" t="e">
        <f>O19-#REF!</f>
        <v>#REF!</v>
      </c>
      <c r="U19" s="90"/>
    </row>
    <row r="20" spans="1:21" s="89" customFormat="1" ht="9.6" customHeight="1" x14ac:dyDescent="0.2">
      <c r="A20" s="117"/>
      <c r="B20" s="118" t="s">
        <v>23</v>
      </c>
      <c r="C20" s="86">
        <v>110</v>
      </c>
      <c r="D20" s="86">
        <v>110</v>
      </c>
      <c r="E20" s="86">
        <v>110</v>
      </c>
      <c r="F20" s="86">
        <v>110</v>
      </c>
      <c r="G20" s="86">
        <v>110</v>
      </c>
      <c r="H20" s="86">
        <v>110</v>
      </c>
      <c r="I20" s="86">
        <v>110</v>
      </c>
      <c r="J20" s="86">
        <v>110</v>
      </c>
      <c r="K20" s="86">
        <v>110</v>
      </c>
      <c r="L20" s="86">
        <v>110</v>
      </c>
      <c r="M20" s="86">
        <v>110</v>
      </c>
      <c r="N20" s="106">
        <v>110</v>
      </c>
      <c r="O20" s="146">
        <v>110</v>
      </c>
      <c r="P20" s="145" t="e">
        <f>O20-#REF!</f>
        <v>#REF!</v>
      </c>
      <c r="R20" s="90"/>
      <c r="S20" s="90"/>
      <c r="U20" s="90"/>
    </row>
    <row r="21" spans="1:21" s="82" customFormat="1" ht="9.6" customHeight="1" x14ac:dyDescent="0.2">
      <c r="A21" s="115"/>
      <c r="B21" s="116" t="s">
        <v>55</v>
      </c>
      <c r="C21" s="107">
        <v>9519.7999999999993</v>
      </c>
      <c r="D21" s="107">
        <v>9519.7999999999993</v>
      </c>
      <c r="E21" s="107">
        <v>9519.7999999999993</v>
      </c>
      <c r="F21" s="107">
        <v>9519.7999999999993</v>
      </c>
      <c r="G21" s="107">
        <v>9519.7999999999993</v>
      </c>
      <c r="H21" s="107">
        <v>9519.7999999999993</v>
      </c>
      <c r="I21" s="107">
        <v>9519.7999999999993</v>
      </c>
      <c r="J21" s="107">
        <v>9519.7999999999993</v>
      </c>
      <c r="K21" s="107">
        <v>9787</v>
      </c>
      <c r="L21" s="107">
        <v>9790.2000000000007</v>
      </c>
      <c r="M21" s="107">
        <v>9865.2999999999993</v>
      </c>
      <c r="N21" s="108">
        <v>8579</v>
      </c>
      <c r="O21" s="147">
        <v>10549.1</v>
      </c>
      <c r="P21" s="144" t="e">
        <f>O21-#REF!</f>
        <v>#REF!</v>
      </c>
      <c r="R21" s="83"/>
      <c r="S21" s="83"/>
      <c r="U21" s="83"/>
    </row>
    <row r="22" spans="1:21" s="82" customFormat="1" ht="9.6" customHeight="1" x14ac:dyDescent="0.2">
      <c r="A22" s="113">
        <v>4</v>
      </c>
      <c r="B22" s="114" t="s">
        <v>84</v>
      </c>
      <c r="C22" s="76">
        <v>931.1</v>
      </c>
      <c r="D22" s="76">
        <v>1004.1</v>
      </c>
      <c r="E22" s="76">
        <v>1004.1</v>
      </c>
      <c r="F22" s="76">
        <v>1004.1</v>
      </c>
      <c r="G22" s="76">
        <v>1178.9000000000001</v>
      </c>
      <c r="H22" s="76">
        <v>1178.9000000000001</v>
      </c>
      <c r="I22" s="76">
        <v>1178.9000000000001</v>
      </c>
      <c r="J22" s="76">
        <v>1178.9000000000001</v>
      </c>
      <c r="K22" s="76">
        <v>1178.9000000000001</v>
      </c>
      <c r="L22" s="76">
        <v>1178.9000000000001</v>
      </c>
      <c r="M22" s="76">
        <v>1178.9000000000001</v>
      </c>
      <c r="N22" s="77">
        <v>1178.9000000000001</v>
      </c>
      <c r="O22" s="91">
        <f>O23+O25</f>
        <v>931.09999999999991</v>
      </c>
      <c r="P22" s="143" t="e">
        <f>O22-#REF!</f>
        <v>#REF!</v>
      </c>
      <c r="R22" s="83"/>
      <c r="S22" s="83"/>
      <c r="U22" s="83"/>
    </row>
    <row r="23" spans="1:21" s="82" customFormat="1" ht="9.6" customHeight="1" x14ac:dyDescent="0.2">
      <c r="A23" s="115"/>
      <c r="B23" s="116" t="s">
        <v>18</v>
      </c>
      <c r="C23" s="80">
        <v>0</v>
      </c>
      <c r="D23" s="80">
        <v>0</v>
      </c>
      <c r="E23" s="80">
        <v>0</v>
      </c>
      <c r="F23" s="80">
        <v>0</v>
      </c>
      <c r="G23" s="80">
        <v>2.1</v>
      </c>
      <c r="H23" s="80">
        <v>0.2</v>
      </c>
      <c r="I23" s="80">
        <v>1</v>
      </c>
      <c r="J23" s="80">
        <v>1.5</v>
      </c>
      <c r="K23" s="80">
        <v>2.2000000000000002</v>
      </c>
      <c r="L23" s="80">
        <v>0</v>
      </c>
      <c r="M23" s="80">
        <v>1.6</v>
      </c>
      <c r="N23" s="81">
        <v>45.8</v>
      </c>
      <c r="O23" s="83">
        <f>O24</f>
        <v>0.3</v>
      </c>
      <c r="P23" s="144" t="e">
        <f>O23-#REF!</f>
        <v>#REF!</v>
      </c>
      <c r="R23" s="83"/>
      <c r="S23" s="83"/>
      <c r="U23" s="83"/>
    </row>
    <row r="24" spans="1:21" s="89" customFormat="1" ht="9.6" customHeight="1" x14ac:dyDescent="0.2">
      <c r="A24" s="117"/>
      <c r="B24" s="118" t="s">
        <v>19</v>
      </c>
      <c r="C24" s="86">
        <v>0</v>
      </c>
      <c r="D24" s="86">
        <v>0</v>
      </c>
      <c r="E24" s="86">
        <v>0</v>
      </c>
      <c r="F24" s="86">
        <v>0</v>
      </c>
      <c r="G24" s="86">
        <v>2.1</v>
      </c>
      <c r="H24" s="86">
        <v>0.2</v>
      </c>
      <c r="I24" s="86">
        <v>1</v>
      </c>
      <c r="J24" s="86">
        <v>1.5</v>
      </c>
      <c r="K24" s="86">
        <v>2.2000000000000002</v>
      </c>
      <c r="L24" s="86">
        <v>0</v>
      </c>
      <c r="M24" s="86">
        <v>1.6</v>
      </c>
      <c r="N24" s="106">
        <v>45.8</v>
      </c>
      <c r="O24" s="146">
        <v>0.3</v>
      </c>
      <c r="P24" s="145" t="e">
        <f>O24-#REF!</f>
        <v>#REF!</v>
      </c>
      <c r="R24" s="90"/>
      <c r="S24" s="90"/>
      <c r="U24" s="90"/>
    </row>
    <row r="25" spans="1:21" s="82" customFormat="1" ht="9.6" customHeight="1" x14ac:dyDescent="0.2">
      <c r="A25" s="115"/>
      <c r="B25" s="116" t="s">
        <v>85</v>
      </c>
      <c r="C25" s="107">
        <v>931.1</v>
      </c>
      <c r="D25" s="107">
        <v>1004.1</v>
      </c>
      <c r="E25" s="107">
        <v>1004.1</v>
      </c>
      <c r="F25" s="107">
        <v>1004.1</v>
      </c>
      <c r="G25" s="107">
        <v>1176.8</v>
      </c>
      <c r="H25" s="107">
        <v>1178.7</v>
      </c>
      <c r="I25" s="107">
        <v>1177.9000000000001</v>
      </c>
      <c r="J25" s="107">
        <v>1177.4000000000001</v>
      </c>
      <c r="K25" s="107">
        <v>1176.7</v>
      </c>
      <c r="L25" s="107">
        <v>1178.9000000000001</v>
      </c>
      <c r="M25" s="107">
        <v>1177.3</v>
      </c>
      <c r="N25" s="108">
        <v>1133.0999999999999</v>
      </c>
      <c r="O25" s="147">
        <v>930.8</v>
      </c>
      <c r="P25" s="143" t="e">
        <f>O25-#REF!</f>
        <v>#REF!</v>
      </c>
      <c r="R25" s="83"/>
      <c r="S25" s="83"/>
      <c r="U25" s="83"/>
    </row>
    <row r="26" spans="1:21" s="71" customFormat="1" ht="9.6" customHeight="1" x14ac:dyDescent="0.2">
      <c r="A26" s="113">
        <v>4</v>
      </c>
      <c r="B26" s="114" t="s">
        <v>34</v>
      </c>
      <c r="C26" s="76">
        <v>9164.5</v>
      </c>
      <c r="D26" s="76">
        <v>9164.5</v>
      </c>
      <c r="E26" s="76">
        <v>9164.5</v>
      </c>
      <c r="F26" s="76">
        <v>9164.5</v>
      </c>
      <c r="G26" s="76">
        <v>9164.5</v>
      </c>
      <c r="H26" s="76">
        <v>9256.2999999999993</v>
      </c>
      <c r="I26" s="76">
        <v>9323.2000000000007</v>
      </c>
      <c r="J26" s="76">
        <v>9323.2000000000007</v>
      </c>
      <c r="K26" s="76">
        <v>8537.7000000000007</v>
      </c>
      <c r="L26" s="76">
        <v>8537.7000000000007</v>
      </c>
      <c r="M26" s="76">
        <v>8899.7999999999993</v>
      </c>
      <c r="N26" s="77">
        <v>8946.2000000000007</v>
      </c>
      <c r="O26" s="91">
        <f>O27+O30</f>
        <v>9063</v>
      </c>
      <c r="P26" s="143" t="e">
        <f>O26-#REF!</f>
        <v>#REF!</v>
      </c>
      <c r="U26" s="91"/>
    </row>
    <row r="27" spans="1:21" s="82" customFormat="1" ht="9.6" customHeight="1" x14ac:dyDescent="0.2">
      <c r="A27" s="115"/>
      <c r="B27" s="116" t="s">
        <v>18</v>
      </c>
      <c r="C27" s="80">
        <v>6954.3</v>
      </c>
      <c r="D27" s="80">
        <v>6954.3</v>
      </c>
      <c r="E27" s="80">
        <v>6954.3</v>
      </c>
      <c r="F27" s="80">
        <v>6954.3</v>
      </c>
      <c r="G27" s="80">
        <v>6954.3</v>
      </c>
      <c r="H27" s="80">
        <v>6954.3</v>
      </c>
      <c r="I27" s="80">
        <v>6954.3</v>
      </c>
      <c r="J27" s="80">
        <v>6954.3</v>
      </c>
      <c r="K27" s="80">
        <v>6168.8</v>
      </c>
      <c r="L27" s="80">
        <v>6168.8</v>
      </c>
      <c r="M27" s="80">
        <v>6530.9</v>
      </c>
      <c r="N27" s="81">
        <v>6530.9</v>
      </c>
      <c r="O27" s="83">
        <f>O28+O29</f>
        <v>6954.3</v>
      </c>
      <c r="P27" s="144" t="e">
        <f>O27-#REF!</f>
        <v>#REF!</v>
      </c>
      <c r="R27" s="83"/>
      <c r="S27" s="83"/>
      <c r="U27" s="83"/>
    </row>
    <row r="28" spans="1:21" s="89" customFormat="1" ht="9.6" customHeight="1" x14ac:dyDescent="0.2">
      <c r="A28" s="117"/>
      <c r="B28" s="118" t="s">
        <v>56</v>
      </c>
      <c r="C28" s="87">
        <v>6009.7</v>
      </c>
      <c r="D28" s="87">
        <v>6009.7</v>
      </c>
      <c r="E28" s="87">
        <v>6009.7</v>
      </c>
      <c r="F28" s="87">
        <v>6009.7</v>
      </c>
      <c r="G28" s="87">
        <v>6009.7</v>
      </c>
      <c r="H28" s="87">
        <v>6009.7</v>
      </c>
      <c r="I28" s="87">
        <v>6009.7</v>
      </c>
      <c r="J28" s="87">
        <v>6009.7</v>
      </c>
      <c r="K28" s="87">
        <v>5224.2</v>
      </c>
      <c r="L28" s="87">
        <v>5224.2</v>
      </c>
      <c r="M28" s="87">
        <v>5586.3</v>
      </c>
      <c r="N28" s="88">
        <v>5586.3</v>
      </c>
      <c r="O28" s="148">
        <v>6009.7</v>
      </c>
      <c r="P28" s="145" t="e">
        <f>O28-#REF!</f>
        <v>#REF!</v>
      </c>
      <c r="U28" s="90"/>
    </row>
    <row r="29" spans="1:21" s="89" customFormat="1" ht="9.6" customHeight="1" x14ac:dyDescent="0.2">
      <c r="A29" s="117"/>
      <c r="B29" s="118" t="s">
        <v>23</v>
      </c>
      <c r="C29" s="86">
        <v>944.6</v>
      </c>
      <c r="D29" s="86">
        <v>944.6</v>
      </c>
      <c r="E29" s="86">
        <v>944.6</v>
      </c>
      <c r="F29" s="86">
        <v>944.6</v>
      </c>
      <c r="G29" s="86">
        <v>944.6</v>
      </c>
      <c r="H29" s="86">
        <v>944.6</v>
      </c>
      <c r="I29" s="86">
        <v>944.6</v>
      </c>
      <c r="J29" s="86">
        <v>944.6</v>
      </c>
      <c r="K29" s="86">
        <v>944.6</v>
      </c>
      <c r="L29" s="86">
        <v>944.6</v>
      </c>
      <c r="M29" s="86">
        <v>944.6</v>
      </c>
      <c r="N29" s="106">
        <v>944.6</v>
      </c>
      <c r="O29" s="148">
        <v>944.6</v>
      </c>
      <c r="P29" s="145" t="e">
        <f>O29-#REF!</f>
        <v>#REF!</v>
      </c>
      <c r="U29" s="90"/>
    </row>
    <row r="30" spans="1:21" s="82" customFormat="1" ht="9.6" customHeight="1" x14ac:dyDescent="0.2">
      <c r="A30" s="115"/>
      <c r="B30" s="116" t="s">
        <v>36</v>
      </c>
      <c r="C30" s="107">
        <v>2210.1999999999998</v>
      </c>
      <c r="D30" s="107">
        <v>2210.1999999999998</v>
      </c>
      <c r="E30" s="107">
        <v>2210.1999999999998</v>
      </c>
      <c r="F30" s="107">
        <v>2210.1999999999998</v>
      </c>
      <c r="G30" s="107">
        <v>2210.1999999999998</v>
      </c>
      <c r="H30" s="107">
        <v>2302</v>
      </c>
      <c r="I30" s="107">
        <v>2368.9</v>
      </c>
      <c r="J30" s="107">
        <v>2368.9</v>
      </c>
      <c r="K30" s="107">
        <v>2368.9</v>
      </c>
      <c r="L30" s="107">
        <v>2368.9</v>
      </c>
      <c r="M30" s="107">
        <v>2368.9</v>
      </c>
      <c r="N30" s="108">
        <v>2415.3000000000002</v>
      </c>
      <c r="O30" s="147">
        <v>2108.6999999999998</v>
      </c>
      <c r="P30" s="144" t="e">
        <f>O30-#REF!</f>
        <v>#REF!</v>
      </c>
      <c r="U30" s="83"/>
    </row>
    <row r="31" spans="1:21" s="82" customFormat="1" ht="9.6" customHeight="1" x14ac:dyDescent="0.2">
      <c r="A31" s="115"/>
      <c r="B31" s="116" t="s">
        <v>98</v>
      </c>
      <c r="C31" s="107">
        <v>736.8</v>
      </c>
      <c r="D31" s="107">
        <v>736.8</v>
      </c>
      <c r="E31" s="107">
        <v>736.8</v>
      </c>
      <c r="F31" s="107">
        <v>736.8</v>
      </c>
      <c r="G31" s="107">
        <v>736.8</v>
      </c>
      <c r="H31" s="107">
        <v>828.6</v>
      </c>
      <c r="I31" s="107">
        <v>828.6</v>
      </c>
      <c r="J31" s="107">
        <v>895.4</v>
      </c>
      <c r="K31" s="107">
        <v>895.4</v>
      </c>
      <c r="L31" s="107">
        <v>895.4</v>
      </c>
      <c r="M31" s="107">
        <v>895.41</v>
      </c>
      <c r="N31" s="108">
        <v>941.74</v>
      </c>
      <c r="O31" s="147"/>
      <c r="P31" s="144"/>
      <c r="U31" s="83"/>
    </row>
    <row r="32" spans="1:21" s="71" customFormat="1" ht="9.6" customHeight="1" x14ac:dyDescent="0.2">
      <c r="A32" s="119">
        <v>5</v>
      </c>
      <c r="B32" s="114" t="s">
        <v>69</v>
      </c>
      <c r="C32" s="76">
        <v>-854.8</v>
      </c>
      <c r="D32" s="76">
        <v>331.2</v>
      </c>
      <c r="E32" s="76">
        <v>1448.7</v>
      </c>
      <c r="F32" s="76">
        <v>1029.4000000000001</v>
      </c>
      <c r="G32" s="76">
        <v>475.9</v>
      </c>
      <c r="H32" s="76">
        <v>-5275.8</v>
      </c>
      <c r="I32" s="76">
        <v>-4473.8</v>
      </c>
      <c r="J32" s="76">
        <v>-4582</v>
      </c>
      <c r="K32" s="76">
        <v>-6146.2</v>
      </c>
      <c r="L32" s="76">
        <v>-6351.1</v>
      </c>
      <c r="M32" s="76">
        <v>5031</v>
      </c>
      <c r="N32" s="77">
        <v>-753</v>
      </c>
      <c r="O32" s="149">
        <f>O33</f>
        <v>583.5</v>
      </c>
      <c r="P32" s="143" t="e">
        <f>O32-#REF!</f>
        <v>#REF!</v>
      </c>
      <c r="U32" s="91"/>
    </row>
    <row r="33" spans="1:21" s="82" customFormat="1" ht="9.6" customHeight="1" x14ac:dyDescent="0.2">
      <c r="A33" s="115"/>
      <c r="B33" s="116" t="s">
        <v>70</v>
      </c>
      <c r="C33" s="107">
        <v>-854.8</v>
      </c>
      <c r="D33" s="107">
        <v>331.2</v>
      </c>
      <c r="E33" s="107">
        <v>1448.7</v>
      </c>
      <c r="F33" s="107">
        <v>1029.4000000000001</v>
      </c>
      <c r="G33" s="107">
        <v>475.9</v>
      </c>
      <c r="H33" s="107">
        <v>-5275.8</v>
      </c>
      <c r="I33" s="107">
        <v>-4473.8</v>
      </c>
      <c r="J33" s="107">
        <v>-4582</v>
      </c>
      <c r="K33" s="107">
        <v>-6146.2</v>
      </c>
      <c r="L33" s="107">
        <v>-6351.1</v>
      </c>
      <c r="M33" s="107">
        <v>5031</v>
      </c>
      <c r="N33" s="108">
        <v>-753</v>
      </c>
      <c r="O33" s="147">
        <v>583.5</v>
      </c>
      <c r="P33" s="144" t="e">
        <f>O33-#REF!</f>
        <v>#REF!</v>
      </c>
      <c r="U33" s="83"/>
    </row>
    <row r="34" spans="1:21" s="71" customFormat="1" ht="9.6" customHeight="1" x14ac:dyDescent="0.2">
      <c r="A34" s="113">
        <v>6</v>
      </c>
      <c r="B34" s="114" t="s">
        <v>38</v>
      </c>
      <c r="C34" s="76">
        <v>82579.5</v>
      </c>
      <c r="D34" s="76">
        <v>83598.5</v>
      </c>
      <c r="E34" s="76">
        <v>85046</v>
      </c>
      <c r="F34" s="76">
        <v>84556.7</v>
      </c>
      <c r="G34" s="76">
        <v>83908</v>
      </c>
      <c r="H34" s="76">
        <v>77678.100000000006</v>
      </c>
      <c r="I34" s="76">
        <v>78547</v>
      </c>
      <c r="J34" s="76">
        <v>78438.8</v>
      </c>
      <c r="K34" s="76">
        <v>77729.097000000009</v>
      </c>
      <c r="L34" s="76">
        <v>77884.2</v>
      </c>
      <c r="M34" s="76">
        <v>89628.4</v>
      </c>
      <c r="N34" s="77">
        <v>85380.7</v>
      </c>
      <c r="O34" s="91">
        <f>O35+O38</f>
        <v>81173</v>
      </c>
      <c r="P34" s="143" t="e">
        <f>O34-#REF!</f>
        <v>#REF!</v>
      </c>
      <c r="U34" s="91"/>
    </row>
    <row r="35" spans="1:21" s="82" customFormat="1" ht="9.6" customHeight="1" x14ac:dyDescent="0.2">
      <c r="A35" s="120"/>
      <c r="B35" s="116" t="s">
        <v>18</v>
      </c>
      <c r="C35" s="80">
        <v>60776.1</v>
      </c>
      <c r="D35" s="80">
        <v>61532.4</v>
      </c>
      <c r="E35" s="80">
        <v>62507.6</v>
      </c>
      <c r="F35" s="80">
        <v>61499.7</v>
      </c>
      <c r="G35" s="80">
        <v>60174.9</v>
      </c>
      <c r="H35" s="80">
        <v>53753.8</v>
      </c>
      <c r="I35" s="80">
        <v>54453.3</v>
      </c>
      <c r="J35" s="80">
        <v>55575.8</v>
      </c>
      <c r="K35" s="80">
        <v>55189.597000000002</v>
      </c>
      <c r="L35" s="80">
        <v>55604.3</v>
      </c>
      <c r="M35" s="80">
        <v>67502.5</v>
      </c>
      <c r="N35" s="81">
        <v>62118.9</v>
      </c>
      <c r="O35" s="83">
        <f>O36+O37</f>
        <v>61923.8</v>
      </c>
      <c r="P35" s="144" t="e">
        <f>O35-#REF!</f>
        <v>#REF!</v>
      </c>
      <c r="U35" s="83"/>
    </row>
    <row r="36" spans="1:21" s="89" customFormat="1" ht="9.6" customHeight="1" x14ac:dyDescent="0.2">
      <c r="A36" s="121"/>
      <c r="B36" s="118" t="s">
        <v>19</v>
      </c>
      <c r="C36" s="87">
        <v>17398.8</v>
      </c>
      <c r="D36" s="87">
        <v>14395.1</v>
      </c>
      <c r="E36" s="87">
        <v>19404.3</v>
      </c>
      <c r="F36" s="87">
        <v>16313.6</v>
      </c>
      <c r="G36" s="87">
        <v>15497</v>
      </c>
      <c r="H36" s="87">
        <v>7723.4</v>
      </c>
      <c r="I36" s="87">
        <v>8076.2</v>
      </c>
      <c r="J36" s="87">
        <v>12913.4</v>
      </c>
      <c r="K36" s="87">
        <v>12501.197</v>
      </c>
      <c r="L36" s="87">
        <v>12840.9</v>
      </c>
      <c r="M36" s="87">
        <v>21771.599999999999</v>
      </c>
      <c r="N36" s="88">
        <v>18322.599999999999</v>
      </c>
      <c r="O36" s="90">
        <f>O8+O14+O19+O28+O33+O24</f>
        <v>28287.9</v>
      </c>
      <c r="P36" s="144" t="e">
        <f>O36-#REF!</f>
        <v>#REF!</v>
      </c>
      <c r="U36" s="90"/>
    </row>
    <row r="37" spans="1:21" s="89" customFormat="1" ht="9.6" customHeight="1" x14ac:dyDescent="0.2">
      <c r="A37" s="121"/>
      <c r="B37" s="118" t="s">
        <v>23</v>
      </c>
      <c r="C37" s="87">
        <v>43377.3</v>
      </c>
      <c r="D37" s="87">
        <v>47137.3</v>
      </c>
      <c r="E37" s="87">
        <v>43103.3</v>
      </c>
      <c r="F37" s="87">
        <v>45186.1</v>
      </c>
      <c r="G37" s="87">
        <v>44677.9</v>
      </c>
      <c r="H37" s="87">
        <v>46030.400000000001</v>
      </c>
      <c r="I37" s="87">
        <v>46377.1</v>
      </c>
      <c r="J37" s="87">
        <v>42662.400000000001</v>
      </c>
      <c r="K37" s="87">
        <v>42688.4</v>
      </c>
      <c r="L37" s="87">
        <v>42763.4</v>
      </c>
      <c r="M37" s="87">
        <v>45730.9</v>
      </c>
      <c r="N37" s="88">
        <v>43796.3</v>
      </c>
      <c r="O37" s="90">
        <f>O9+O15+O20+O29</f>
        <v>33635.9</v>
      </c>
      <c r="P37" s="144" t="e">
        <f>O37-#REF!</f>
        <v>#REF!</v>
      </c>
      <c r="U37" s="90"/>
    </row>
    <row r="38" spans="1:21" s="82" customFormat="1" ht="9.6" customHeight="1" x14ac:dyDescent="0.2">
      <c r="A38" s="120"/>
      <c r="B38" s="116" t="s">
        <v>24</v>
      </c>
      <c r="C38" s="80">
        <v>21803.4</v>
      </c>
      <c r="D38" s="80">
        <v>22066.1</v>
      </c>
      <c r="E38" s="80">
        <v>22538.400000000001</v>
      </c>
      <c r="F38" s="80">
        <v>23057</v>
      </c>
      <c r="G38" s="80">
        <v>23733.1</v>
      </c>
      <c r="H38" s="80">
        <v>23924.3</v>
      </c>
      <c r="I38" s="80">
        <v>24093.7</v>
      </c>
      <c r="J38" s="80">
        <v>22863</v>
      </c>
      <c r="K38" s="80">
        <v>22539.5</v>
      </c>
      <c r="L38" s="80">
        <v>22279.9</v>
      </c>
      <c r="M38" s="80">
        <v>22125.9</v>
      </c>
      <c r="N38" s="81">
        <v>23261.8</v>
      </c>
      <c r="O38" s="83">
        <f>O10+O16+O21+O25+O30</f>
        <v>19249.2</v>
      </c>
      <c r="P38" s="144" t="e">
        <f>O38-#REF!</f>
        <v>#REF!</v>
      </c>
      <c r="R38" s="83"/>
      <c r="S38" s="83"/>
      <c r="U38" s="83"/>
    </row>
    <row r="39" spans="1:21" s="89" customFormat="1" ht="9.6" customHeight="1" thickBot="1" x14ac:dyDescent="0.25">
      <c r="A39" s="122"/>
      <c r="B39" s="123" t="s">
        <v>25</v>
      </c>
      <c r="C39" s="97">
        <v>970</v>
      </c>
      <c r="D39" s="97">
        <v>870</v>
      </c>
      <c r="E39" s="97">
        <v>990</v>
      </c>
      <c r="F39" s="97">
        <v>1181.7</v>
      </c>
      <c r="G39" s="97">
        <v>1471.7</v>
      </c>
      <c r="H39" s="97">
        <v>1401.7</v>
      </c>
      <c r="I39" s="97">
        <v>1430</v>
      </c>
      <c r="J39" s="97">
        <v>1180</v>
      </c>
      <c r="K39" s="97">
        <v>870</v>
      </c>
      <c r="L39" s="97">
        <v>580</v>
      </c>
      <c r="M39" s="97">
        <v>580</v>
      </c>
      <c r="N39" s="98">
        <v>690</v>
      </c>
      <c r="O39" s="148">
        <f>O11</f>
        <v>466.7</v>
      </c>
      <c r="P39" s="144" t="e">
        <f>O39-#REF!</f>
        <v>#REF!</v>
      </c>
      <c r="R39" s="90"/>
      <c r="S39" s="90"/>
      <c r="U39" s="90"/>
    </row>
    <row r="40" spans="1:21" s="82" customFormat="1" ht="9.9" customHeight="1" thickTop="1" x14ac:dyDescent="0.2">
      <c r="A40" s="136" t="s">
        <v>21</v>
      </c>
      <c r="B40" s="100" t="s">
        <v>58</v>
      </c>
      <c r="R40" s="83"/>
      <c r="S40" s="83"/>
      <c r="U40" s="83"/>
    </row>
    <row r="41" spans="1:21" s="82" customFormat="1" ht="9.9" customHeight="1" x14ac:dyDescent="0.2">
      <c r="A41" s="136" t="s">
        <v>59</v>
      </c>
      <c r="B41" s="100" t="s">
        <v>99</v>
      </c>
      <c r="E41" s="136"/>
      <c r="F41" s="100"/>
      <c r="R41" s="83"/>
      <c r="S41" s="83"/>
      <c r="U41" s="83"/>
    </row>
    <row r="42" spans="1:21" s="82" customFormat="1" ht="9.9" customHeight="1" x14ac:dyDescent="0.2">
      <c r="A42" s="150" t="s">
        <v>63</v>
      </c>
      <c r="B42" s="100" t="s">
        <v>93</v>
      </c>
      <c r="E42" s="136"/>
      <c r="F42" s="100"/>
      <c r="R42" s="83"/>
      <c r="S42" s="83"/>
      <c r="U42" s="83"/>
    </row>
    <row r="43" spans="1:21" s="82" customFormat="1" ht="9.9" customHeight="1" x14ac:dyDescent="0.2">
      <c r="A43" s="136" t="s">
        <v>61</v>
      </c>
      <c r="B43" s="100" t="s">
        <v>100</v>
      </c>
      <c r="D43" s="83"/>
    </row>
    <row r="44" spans="1:21" s="82" customFormat="1" ht="9.9" customHeight="1" x14ac:dyDescent="0.2">
      <c r="A44" s="151"/>
      <c r="B44" s="100" t="s">
        <v>101</v>
      </c>
      <c r="U44" s="83"/>
    </row>
    <row r="45" spans="1:21" s="82" customFormat="1" ht="9.9" customHeight="1" x14ac:dyDescent="0.2">
      <c r="A45" s="150"/>
      <c r="B45" s="100" t="s">
        <v>102</v>
      </c>
      <c r="U45" s="83"/>
    </row>
    <row r="46" spans="1:21" s="89" customFormat="1" ht="9.9" customHeight="1" x14ac:dyDescent="0.2">
      <c r="A46" s="102" t="s">
        <v>103</v>
      </c>
      <c r="U46" s="90"/>
    </row>
    <row r="47" spans="1:21" ht="8.25" customHeight="1" x14ac:dyDescent="0.15">
      <c r="G47" s="152"/>
      <c r="H47" s="152"/>
      <c r="I47" s="152"/>
      <c r="J47" s="152"/>
      <c r="K47" s="152"/>
      <c r="L47" s="152"/>
      <c r="M47" s="152"/>
      <c r="N47" s="152"/>
    </row>
  </sheetData>
  <mergeCells count="5"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workbookViewId="0">
      <selection activeCell="M28" sqref="M28"/>
    </sheetView>
  </sheetViews>
  <sheetFormatPr defaultColWidth="11" defaultRowHeight="7.2" x14ac:dyDescent="0.15"/>
  <cols>
    <col min="1" max="1" width="3.109375" style="70" customWidth="1"/>
    <col min="2" max="2" width="20.109375" style="1" customWidth="1"/>
    <col min="3" max="14" width="7.5546875" style="1" bestFit="1" customWidth="1"/>
    <col min="15" max="17" width="9.88671875" style="1" customWidth="1"/>
    <col min="18" max="256" width="11" style="1"/>
    <col min="257" max="257" width="3.109375" style="1" customWidth="1"/>
    <col min="258" max="258" width="20.109375" style="1" customWidth="1"/>
    <col min="259" max="270" width="7.5546875" style="1" bestFit="1" customWidth="1"/>
    <col min="271" max="273" width="9.88671875" style="1" customWidth="1"/>
    <col min="274" max="512" width="11" style="1"/>
    <col min="513" max="513" width="3.109375" style="1" customWidth="1"/>
    <col min="514" max="514" width="20.109375" style="1" customWidth="1"/>
    <col min="515" max="526" width="7.5546875" style="1" bestFit="1" customWidth="1"/>
    <col min="527" max="529" width="9.88671875" style="1" customWidth="1"/>
    <col min="530" max="768" width="11" style="1"/>
    <col min="769" max="769" width="3.109375" style="1" customWidth="1"/>
    <col min="770" max="770" width="20.109375" style="1" customWidth="1"/>
    <col min="771" max="782" width="7.5546875" style="1" bestFit="1" customWidth="1"/>
    <col min="783" max="785" width="9.88671875" style="1" customWidth="1"/>
    <col min="786" max="1024" width="11" style="1"/>
    <col min="1025" max="1025" width="3.109375" style="1" customWidth="1"/>
    <col min="1026" max="1026" width="20.109375" style="1" customWidth="1"/>
    <col min="1027" max="1038" width="7.5546875" style="1" bestFit="1" customWidth="1"/>
    <col min="1039" max="1041" width="9.88671875" style="1" customWidth="1"/>
    <col min="1042" max="1280" width="11" style="1"/>
    <col min="1281" max="1281" width="3.109375" style="1" customWidth="1"/>
    <col min="1282" max="1282" width="20.109375" style="1" customWidth="1"/>
    <col min="1283" max="1294" width="7.5546875" style="1" bestFit="1" customWidth="1"/>
    <col min="1295" max="1297" width="9.88671875" style="1" customWidth="1"/>
    <col min="1298" max="1536" width="11" style="1"/>
    <col min="1537" max="1537" width="3.109375" style="1" customWidth="1"/>
    <col min="1538" max="1538" width="20.109375" style="1" customWidth="1"/>
    <col min="1539" max="1550" width="7.5546875" style="1" bestFit="1" customWidth="1"/>
    <col min="1551" max="1553" width="9.88671875" style="1" customWidth="1"/>
    <col min="1554" max="1792" width="11" style="1"/>
    <col min="1793" max="1793" width="3.109375" style="1" customWidth="1"/>
    <col min="1794" max="1794" width="20.109375" style="1" customWidth="1"/>
    <col min="1795" max="1806" width="7.5546875" style="1" bestFit="1" customWidth="1"/>
    <col min="1807" max="1809" width="9.88671875" style="1" customWidth="1"/>
    <col min="1810" max="2048" width="11" style="1"/>
    <col min="2049" max="2049" width="3.109375" style="1" customWidth="1"/>
    <col min="2050" max="2050" width="20.109375" style="1" customWidth="1"/>
    <col min="2051" max="2062" width="7.5546875" style="1" bestFit="1" customWidth="1"/>
    <col min="2063" max="2065" width="9.88671875" style="1" customWidth="1"/>
    <col min="2066" max="2304" width="11" style="1"/>
    <col min="2305" max="2305" width="3.109375" style="1" customWidth="1"/>
    <col min="2306" max="2306" width="20.109375" style="1" customWidth="1"/>
    <col min="2307" max="2318" width="7.5546875" style="1" bestFit="1" customWidth="1"/>
    <col min="2319" max="2321" width="9.88671875" style="1" customWidth="1"/>
    <col min="2322" max="2560" width="11" style="1"/>
    <col min="2561" max="2561" width="3.109375" style="1" customWidth="1"/>
    <col min="2562" max="2562" width="20.109375" style="1" customWidth="1"/>
    <col min="2563" max="2574" width="7.5546875" style="1" bestFit="1" customWidth="1"/>
    <col min="2575" max="2577" width="9.88671875" style="1" customWidth="1"/>
    <col min="2578" max="2816" width="11" style="1"/>
    <col min="2817" max="2817" width="3.109375" style="1" customWidth="1"/>
    <col min="2818" max="2818" width="20.109375" style="1" customWidth="1"/>
    <col min="2819" max="2830" width="7.5546875" style="1" bestFit="1" customWidth="1"/>
    <col min="2831" max="2833" width="9.88671875" style="1" customWidth="1"/>
    <col min="2834" max="3072" width="11" style="1"/>
    <col min="3073" max="3073" width="3.109375" style="1" customWidth="1"/>
    <col min="3074" max="3074" width="20.109375" style="1" customWidth="1"/>
    <col min="3075" max="3086" width="7.5546875" style="1" bestFit="1" customWidth="1"/>
    <col min="3087" max="3089" width="9.88671875" style="1" customWidth="1"/>
    <col min="3090" max="3328" width="11" style="1"/>
    <col min="3329" max="3329" width="3.109375" style="1" customWidth="1"/>
    <col min="3330" max="3330" width="20.109375" style="1" customWidth="1"/>
    <col min="3331" max="3342" width="7.5546875" style="1" bestFit="1" customWidth="1"/>
    <col min="3343" max="3345" width="9.88671875" style="1" customWidth="1"/>
    <col min="3346" max="3584" width="11" style="1"/>
    <col min="3585" max="3585" width="3.109375" style="1" customWidth="1"/>
    <col min="3586" max="3586" width="20.109375" style="1" customWidth="1"/>
    <col min="3587" max="3598" width="7.5546875" style="1" bestFit="1" customWidth="1"/>
    <col min="3599" max="3601" width="9.88671875" style="1" customWidth="1"/>
    <col min="3602" max="3840" width="11" style="1"/>
    <col min="3841" max="3841" width="3.109375" style="1" customWidth="1"/>
    <col min="3842" max="3842" width="20.109375" style="1" customWidth="1"/>
    <col min="3843" max="3854" width="7.5546875" style="1" bestFit="1" customWidth="1"/>
    <col min="3855" max="3857" width="9.88671875" style="1" customWidth="1"/>
    <col min="3858" max="4096" width="11" style="1"/>
    <col min="4097" max="4097" width="3.109375" style="1" customWidth="1"/>
    <col min="4098" max="4098" width="20.109375" style="1" customWidth="1"/>
    <col min="4099" max="4110" width="7.5546875" style="1" bestFit="1" customWidth="1"/>
    <col min="4111" max="4113" width="9.88671875" style="1" customWidth="1"/>
    <col min="4114" max="4352" width="11" style="1"/>
    <col min="4353" max="4353" width="3.109375" style="1" customWidth="1"/>
    <col min="4354" max="4354" width="20.109375" style="1" customWidth="1"/>
    <col min="4355" max="4366" width="7.5546875" style="1" bestFit="1" customWidth="1"/>
    <col min="4367" max="4369" width="9.88671875" style="1" customWidth="1"/>
    <col min="4370" max="4608" width="11" style="1"/>
    <col min="4609" max="4609" width="3.109375" style="1" customWidth="1"/>
    <col min="4610" max="4610" width="20.109375" style="1" customWidth="1"/>
    <col min="4611" max="4622" width="7.5546875" style="1" bestFit="1" customWidth="1"/>
    <col min="4623" max="4625" width="9.88671875" style="1" customWidth="1"/>
    <col min="4626" max="4864" width="11" style="1"/>
    <col min="4865" max="4865" width="3.109375" style="1" customWidth="1"/>
    <col min="4866" max="4866" width="20.109375" style="1" customWidth="1"/>
    <col min="4867" max="4878" width="7.5546875" style="1" bestFit="1" customWidth="1"/>
    <col min="4879" max="4881" width="9.88671875" style="1" customWidth="1"/>
    <col min="4882" max="5120" width="11" style="1"/>
    <col min="5121" max="5121" width="3.109375" style="1" customWidth="1"/>
    <col min="5122" max="5122" width="20.109375" style="1" customWidth="1"/>
    <col min="5123" max="5134" width="7.5546875" style="1" bestFit="1" customWidth="1"/>
    <col min="5135" max="5137" width="9.88671875" style="1" customWidth="1"/>
    <col min="5138" max="5376" width="11" style="1"/>
    <col min="5377" max="5377" width="3.109375" style="1" customWidth="1"/>
    <col min="5378" max="5378" width="20.109375" style="1" customWidth="1"/>
    <col min="5379" max="5390" width="7.5546875" style="1" bestFit="1" customWidth="1"/>
    <col min="5391" max="5393" width="9.88671875" style="1" customWidth="1"/>
    <col min="5394" max="5632" width="11" style="1"/>
    <col min="5633" max="5633" width="3.109375" style="1" customWidth="1"/>
    <col min="5634" max="5634" width="20.109375" style="1" customWidth="1"/>
    <col min="5635" max="5646" width="7.5546875" style="1" bestFit="1" customWidth="1"/>
    <col min="5647" max="5649" width="9.88671875" style="1" customWidth="1"/>
    <col min="5650" max="5888" width="11" style="1"/>
    <col min="5889" max="5889" width="3.109375" style="1" customWidth="1"/>
    <col min="5890" max="5890" width="20.109375" style="1" customWidth="1"/>
    <col min="5891" max="5902" width="7.5546875" style="1" bestFit="1" customWidth="1"/>
    <col min="5903" max="5905" width="9.88671875" style="1" customWidth="1"/>
    <col min="5906" max="6144" width="11" style="1"/>
    <col min="6145" max="6145" width="3.109375" style="1" customWidth="1"/>
    <col min="6146" max="6146" width="20.109375" style="1" customWidth="1"/>
    <col min="6147" max="6158" width="7.5546875" style="1" bestFit="1" customWidth="1"/>
    <col min="6159" max="6161" width="9.88671875" style="1" customWidth="1"/>
    <col min="6162" max="6400" width="11" style="1"/>
    <col min="6401" max="6401" width="3.109375" style="1" customWidth="1"/>
    <col min="6402" max="6402" width="20.109375" style="1" customWidth="1"/>
    <col min="6403" max="6414" width="7.5546875" style="1" bestFit="1" customWidth="1"/>
    <col min="6415" max="6417" width="9.88671875" style="1" customWidth="1"/>
    <col min="6418" max="6656" width="11" style="1"/>
    <col min="6657" max="6657" width="3.109375" style="1" customWidth="1"/>
    <col min="6658" max="6658" width="20.109375" style="1" customWidth="1"/>
    <col min="6659" max="6670" width="7.5546875" style="1" bestFit="1" customWidth="1"/>
    <col min="6671" max="6673" width="9.88671875" style="1" customWidth="1"/>
    <col min="6674" max="6912" width="11" style="1"/>
    <col min="6913" max="6913" width="3.109375" style="1" customWidth="1"/>
    <col min="6914" max="6914" width="20.109375" style="1" customWidth="1"/>
    <col min="6915" max="6926" width="7.5546875" style="1" bestFit="1" customWidth="1"/>
    <col min="6927" max="6929" width="9.88671875" style="1" customWidth="1"/>
    <col min="6930" max="7168" width="11" style="1"/>
    <col min="7169" max="7169" width="3.109375" style="1" customWidth="1"/>
    <col min="7170" max="7170" width="20.109375" style="1" customWidth="1"/>
    <col min="7171" max="7182" width="7.5546875" style="1" bestFit="1" customWidth="1"/>
    <col min="7183" max="7185" width="9.88671875" style="1" customWidth="1"/>
    <col min="7186" max="7424" width="11" style="1"/>
    <col min="7425" max="7425" width="3.109375" style="1" customWidth="1"/>
    <col min="7426" max="7426" width="20.109375" style="1" customWidth="1"/>
    <col min="7427" max="7438" width="7.5546875" style="1" bestFit="1" customWidth="1"/>
    <col min="7439" max="7441" width="9.88671875" style="1" customWidth="1"/>
    <col min="7442" max="7680" width="11" style="1"/>
    <col min="7681" max="7681" width="3.109375" style="1" customWidth="1"/>
    <col min="7682" max="7682" width="20.109375" style="1" customWidth="1"/>
    <col min="7683" max="7694" width="7.5546875" style="1" bestFit="1" customWidth="1"/>
    <col min="7695" max="7697" width="9.88671875" style="1" customWidth="1"/>
    <col min="7698" max="7936" width="11" style="1"/>
    <col min="7937" max="7937" width="3.109375" style="1" customWidth="1"/>
    <col min="7938" max="7938" width="20.109375" style="1" customWidth="1"/>
    <col min="7939" max="7950" width="7.5546875" style="1" bestFit="1" customWidth="1"/>
    <col min="7951" max="7953" width="9.88671875" style="1" customWidth="1"/>
    <col min="7954" max="8192" width="11" style="1"/>
    <col min="8193" max="8193" width="3.109375" style="1" customWidth="1"/>
    <col min="8194" max="8194" width="20.109375" style="1" customWidth="1"/>
    <col min="8195" max="8206" width="7.5546875" style="1" bestFit="1" customWidth="1"/>
    <col min="8207" max="8209" width="9.88671875" style="1" customWidth="1"/>
    <col min="8210" max="8448" width="11" style="1"/>
    <col min="8449" max="8449" width="3.109375" style="1" customWidth="1"/>
    <col min="8450" max="8450" width="20.109375" style="1" customWidth="1"/>
    <col min="8451" max="8462" width="7.5546875" style="1" bestFit="1" customWidth="1"/>
    <col min="8463" max="8465" width="9.88671875" style="1" customWidth="1"/>
    <col min="8466" max="8704" width="11" style="1"/>
    <col min="8705" max="8705" width="3.109375" style="1" customWidth="1"/>
    <col min="8706" max="8706" width="20.109375" style="1" customWidth="1"/>
    <col min="8707" max="8718" width="7.5546875" style="1" bestFit="1" customWidth="1"/>
    <col min="8719" max="8721" width="9.88671875" style="1" customWidth="1"/>
    <col min="8722" max="8960" width="11" style="1"/>
    <col min="8961" max="8961" width="3.109375" style="1" customWidth="1"/>
    <col min="8962" max="8962" width="20.109375" style="1" customWidth="1"/>
    <col min="8963" max="8974" width="7.5546875" style="1" bestFit="1" customWidth="1"/>
    <col min="8975" max="8977" width="9.88671875" style="1" customWidth="1"/>
    <col min="8978" max="9216" width="11" style="1"/>
    <col min="9217" max="9217" width="3.109375" style="1" customWidth="1"/>
    <col min="9218" max="9218" width="20.109375" style="1" customWidth="1"/>
    <col min="9219" max="9230" width="7.5546875" style="1" bestFit="1" customWidth="1"/>
    <col min="9231" max="9233" width="9.88671875" style="1" customWidth="1"/>
    <col min="9234" max="9472" width="11" style="1"/>
    <col min="9473" max="9473" width="3.109375" style="1" customWidth="1"/>
    <col min="9474" max="9474" width="20.109375" style="1" customWidth="1"/>
    <col min="9475" max="9486" width="7.5546875" style="1" bestFit="1" customWidth="1"/>
    <col min="9487" max="9489" width="9.88671875" style="1" customWidth="1"/>
    <col min="9490" max="9728" width="11" style="1"/>
    <col min="9729" max="9729" width="3.109375" style="1" customWidth="1"/>
    <col min="9730" max="9730" width="20.109375" style="1" customWidth="1"/>
    <col min="9731" max="9742" width="7.5546875" style="1" bestFit="1" customWidth="1"/>
    <col min="9743" max="9745" width="9.88671875" style="1" customWidth="1"/>
    <col min="9746" max="9984" width="11" style="1"/>
    <col min="9985" max="9985" width="3.109375" style="1" customWidth="1"/>
    <col min="9986" max="9986" width="20.109375" style="1" customWidth="1"/>
    <col min="9987" max="9998" width="7.5546875" style="1" bestFit="1" customWidth="1"/>
    <col min="9999" max="10001" width="9.88671875" style="1" customWidth="1"/>
    <col min="10002" max="10240" width="11" style="1"/>
    <col min="10241" max="10241" width="3.109375" style="1" customWidth="1"/>
    <col min="10242" max="10242" width="20.109375" style="1" customWidth="1"/>
    <col min="10243" max="10254" width="7.5546875" style="1" bestFit="1" customWidth="1"/>
    <col min="10255" max="10257" width="9.88671875" style="1" customWidth="1"/>
    <col min="10258" max="10496" width="11" style="1"/>
    <col min="10497" max="10497" width="3.109375" style="1" customWidth="1"/>
    <col min="10498" max="10498" width="20.109375" style="1" customWidth="1"/>
    <col min="10499" max="10510" width="7.5546875" style="1" bestFit="1" customWidth="1"/>
    <col min="10511" max="10513" width="9.88671875" style="1" customWidth="1"/>
    <col min="10514" max="10752" width="11" style="1"/>
    <col min="10753" max="10753" width="3.109375" style="1" customWidth="1"/>
    <col min="10754" max="10754" width="20.109375" style="1" customWidth="1"/>
    <col min="10755" max="10766" width="7.5546875" style="1" bestFit="1" customWidth="1"/>
    <col min="10767" max="10769" width="9.88671875" style="1" customWidth="1"/>
    <col min="10770" max="11008" width="11" style="1"/>
    <col min="11009" max="11009" width="3.109375" style="1" customWidth="1"/>
    <col min="11010" max="11010" width="20.109375" style="1" customWidth="1"/>
    <col min="11011" max="11022" width="7.5546875" style="1" bestFit="1" customWidth="1"/>
    <col min="11023" max="11025" width="9.88671875" style="1" customWidth="1"/>
    <col min="11026" max="11264" width="11" style="1"/>
    <col min="11265" max="11265" width="3.109375" style="1" customWidth="1"/>
    <col min="11266" max="11266" width="20.109375" style="1" customWidth="1"/>
    <col min="11267" max="11278" width="7.5546875" style="1" bestFit="1" customWidth="1"/>
    <col min="11279" max="11281" width="9.88671875" style="1" customWidth="1"/>
    <col min="11282" max="11520" width="11" style="1"/>
    <col min="11521" max="11521" width="3.109375" style="1" customWidth="1"/>
    <col min="11522" max="11522" width="20.109375" style="1" customWidth="1"/>
    <col min="11523" max="11534" width="7.5546875" style="1" bestFit="1" customWidth="1"/>
    <col min="11535" max="11537" width="9.88671875" style="1" customWidth="1"/>
    <col min="11538" max="11776" width="11" style="1"/>
    <col min="11777" max="11777" width="3.109375" style="1" customWidth="1"/>
    <col min="11778" max="11778" width="20.109375" style="1" customWidth="1"/>
    <col min="11779" max="11790" width="7.5546875" style="1" bestFit="1" customWidth="1"/>
    <col min="11791" max="11793" width="9.88671875" style="1" customWidth="1"/>
    <col min="11794" max="12032" width="11" style="1"/>
    <col min="12033" max="12033" width="3.109375" style="1" customWidth="1"/>
    <col min="12034" max="12034" width="20.109375" style="1" customWidth="1"/>
    <col min="12035" max="12046" width="7.5546875" style="1" bestFit="1" customWidth="1"/>
    <col min="12047" max="12049" width="9.88671875" style="1" customWidth="1"/>
    <col min="12050" max="12288" width="11" style="1"/>
    <col min="12289" max="12289" width="3.109375" style="1" customWidth="1"/>
    <col min="12290" max="12290" width="20.109375" style="1" customWidth="1"/>
    <col min="12291" max="12302" width="7.5546875" style="1" bestFit="1" customWidth="1"/>
    <col min="12303" max="12305" width="9.88671875" style="1" customWidth="1"/>
    <col min="12306" max="12544" width="11" style="1"/>
    <col min="12545" max="12545" width="3.109375" style="1" customWidth="1"/>
    <col min="12546" max="12546" width="20.109375" style="1" customWidth="1"/>
    <col min="12547" max="12558" width="7.5546875" style="1" bestFit="1" customWidth="1"/>
    <col min="12559" max="12561" width="9.88671875" style="1" customWidth="1"/>
    <col min="12562" max="12800" width="11" style="1"/>
    <col min="12801" max="12801" width="3.109375" style="1" customWidth="1"/>
    <col min="12802" max="12802" width="20.109375" style="1" customWidth="1"/>
    <col min="12803" max="12814" width="7.5546875" style="1" bestFit="1" customWidth="1"/>
    <col min="12815" max="12817" width="9.88671875" style="1" customWidth="1"/>
    <col min="12818" max="13056" width="11" style="1"/>
    <col min="13057" max="13057" width="3.109375" style="1" customWidth="1"/>
    <col min="13058" max="13058" width="20.109375" style="1" customWidth="1"/>
    <col min="13059" max="13070" width="7.5546875" style="1" bestFit="1" customWidth="1"/>
    <col min="13071" max="13073" width="9.88671875" style="1" customWidth="1"/>
    <col min="13074" max="13312" width="11" style="1"/>
    <col min="13313" max="13313" width="3.109375" style="1" customWidth="1"/>
    <col min="13314" max="13314" width="20.109375" style="1" customWidth="1"/>
    <col min="13315" max="13326" width="7.5546875" style="1" bestFit="1" customWidth="1"/>
    <col min="13327" max="13329" width="9.88671875" style="1" customWidth="1"/>
    <col min="13330" max="13568" width="11" style="1"/>
    <col min="13569" max="13569" width="3.109375" style="1" customWidth="1"/>
    <col min="13570" max="13570" width="20.109375" style="1" customWidth="1"/>
    <col min="13571" max="13582" width="7.5546875" style="1" bestFit="1" customWidth="1"/>
    <col min="13583" max="13585" width="9.88671875" style="1" customWidth="1"/>
    <col min="13586" max="13824" width="11" style="1"/>
    <col min="13825" max="13825" width="3.109375" style="1" customWidth="1"/>
    <col min="13826" max="13826" width="20.109375" style="1" customWidth="1"/>
    <col min="13827" max="13838" width="7.5546875" style="1" bestFit="1" customWidth="1"/>
    <col min="13839" max="13841" width="9.88671875" style="1" customWidth="1"/>
    <col min="13842" max="14080" width="11" style="1"/>
    <col min="14081" max="14081" width="3.109375" style="1" customWidth="1"/>
    <col min="14082" max="14082" width="20.109375" style="1" customWidth="1"/>
    <col min="14083" max="14094" width="7.5546875" style="1" bestFit="1" customWidth="1"/>
    <col min="14095" max="14097" width="9.88671875" style="1" customWidth="1"/>
    <col min="14098" max="14336" width="11" style="1"/>
    <col min="14337" max="14337" width="3.109375" style="1" customWidth="1"/>
    <col min="14338" max="14338" width="20.109375" style="1" customWidth="1"/>
    <col min="14339" max="14350" width="7.5546875" style="1" bestFit="1" customWidth="1"/>
    <col min="14351" max="14353" width="9.88671875" style="1" customWidth="1"/>
    <col min="14354" max="14592" width="11" style="1"/>
    <col min="14593" max="14593" width="3.109375" style="1" customWidth="1"/>
    <col min="14594" max="14594" width="20.109375" style="1" customWidth="1"/>
    <col min="14595" max="14606" width="7.5546875" style="1" bestFit="1" customWidth="1"/>
    <col min="14607" max="14609" width="9.88671875" style="1" customWidth="1"/>
    <col min="14610" max="14848" width="11" style="1"/>
    <col min="14849" max="14849" width="3.109375" style="1" customWidth="1"/>
    <col min="14850" max="14850" width="20.109375" style="1" customWidth="1"/>
    <col min="14851" max="14862" width="7.5546875" style="1" bestFit="1" customWidth="1"/>
    <col min="14863" max="14865" width="9.88671875" style="1" customWidth="1"/>
    <col min="14866" max="15104" width="11" style="1"/>
    <col min="15105" max="15105" width="3.109375" style="1" customWidth="1"/>
    <col min="15106" max="15106" width="20.109375" style="1" customWidth="1"/>
    <col min="15107" max="15118" width="7.5546875" style="1" bestFit="1" customWidth="1"/>
    <col min="15119" max="15121" width="9.88671875" style="1" customWidth="1"/>
    <col min="15122" max="15360" width="11" style="1"/>
    <col min="15361" max="15361" width="3.109375" style="1" customWidth="1"/>
    <col min="15362" max="15362" width="20.109375" style="1" customWidth="1"/>
    <col min="15363" max="15374" width="7.5546875" style="1" bestFit="1" customWidth="1"/>
    <col min="15375" max="15377" width="9.88671875" style="1" customWidth="1"/>
    <col min="15378" max="15616" width="11" style="1"/>
    <col min="15617" max="15617" width="3.109375" style="1" customWidth="1"/>
    <col min="15618" max="15618" width="20.109375" style="1" customWidth="1"/>
    <col min="15619" max="15630" width="7.5546875" style="1" bestFit="1" customWidth="1"/>
    <col min="15631" max="15633" width="9.88671875" style="1" customWidth="1"/>
    <col min="15634" max="15872" width="11" style="1"/>
    <col min="15873" max="15873" width="3.109375" style="1" customWidth="1"/>
    <col min="15874" max="15874" width="20.109375" style="1" customWidth="1"/>
    <col min="15875" max="15886" width="7.5546875" style="1" bestFit="1" customWidth="1"/>
    <col min="15887" max="15889" width="9.88671875" style="1" customWidth="1"/>
    <col min="15890" max="16128" width="11" style="1"/>
    <col min="16129" max="16129" width="3.109375" style="1" customWidth="1"/>
    <col min="16130" max="16130" width="20.109375" style="1" customWidth="1"/>
    <col min="16131" max="16142" width="7.5546875" style="1" bestFit="1" customWidth="1"/>
    <col min="16143" max="16145" width="9.88671875" style="1" customWidth="1"/>
    <col min="16146" max="16384" width="11" style="1"/>
  </cols>
  <sheetData>
    <row r="1" spans="1:19" s="110" customFormat="1" ht="18" x14ac:dyDescent="0.35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</row>
    <row r="2" spans="1:19" x14ac:dyDescent="0.15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9" ht="13.8" thickBot="1" x14ac:dyDescent="0.3">
      <c r="A3" s="444" t="s">
        <v>1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</row>
    <row r="4" spans="1:19" s="71" customFormat="1" ht="9.9" customHeight="1" thickTop="1" x14ac:dyDescent="0.2">
      <c r="A4" s="430" t="s">
        <v>2</v>
      </c>
      <c r="B4" s="447" t="s">
        <v>3</v>
      </c>
      <c r="C4" s="441" t="s">
        <v>104</v>
      </c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2"/>
    </row>
    <row r="5" spans="1:19" s="71" customFormat="1" ht="9.9" customHeight="1" x14ac:dyDescent="0.2">
      <c r="A5" s="446"/>
      <c r="B5" s="448"/>
      <c r="C5" s="111" t="s">
        <v>5</v>
      </c>
      <c r="D5" s="111" t="s">
        <v>6</v>
      </c>
      <c r="E5" s="111" t="s">
        <v>7</v>
      </c>
      <c r="F5" s="111" t="s">
        <v>8</v>
      </c>
      <c r="G5" s="111" t="s">
        <v>9</v>
      </c>
      <c r="H5" s="111" t="s">
        <v>10</v>
      </c>
      <c r="I5" s="111" t="s">
        <v>11</v>
      </c>
      <c r="J5" s="111" t="s">
        <v>12</v>
      </c>
      <c r="K5" s="111" t="s">
        <v>13</v>
      </c>
      <c r="L5" s="111" t="s">
        <v>14</v>
      </c>
      <c r="M5" s="111" t="s">
        <v>15</v>
      </c>
      <c r="N5" s="112" t="s">
        <v>16</v>
      </c>
    </row>
    <row r="6" spans="1:19" s="71" customFormat="1" ht="9.9" customHeight="1" x14ac:dyDescent="0.2">
      <c r="A6" s="113">
        <v>1</v>
      </c>
      <c r="B6" s="114" t="s">
        <v>17</v>
      </c>
      <c r="C6" s="76">
        <v>49429.599999999999</v>
      </c>
      <c r="D6" s="76">
        <v>49429.599999999999</v>
      </c>
      <c r="E6" s="76">
        <v>49929.599999999999</v>
      </c>
      <c r="F6" s="76">
        <v>48999.6</v>
      </c>
      <c r="G6" s="76">
        <v>49541.599999999999</v>
      </c>
      <c r="H6" s="76">
        <v>50391.6</v>
      </c>
      <c r="I6" s="76">
        <v>50391.6</v>
      </c>
      <c r="J6" s="76">
        <v>51088.1</v>
      </c>
      <c r="K6" s="76">
        <v>52388.1</v>
      </c>
      <c r="L6" s="76">
        <v>52888.1</v>
      </c>
      <c r="M6" s="76">
        <v>53623.1</v>
      </c>
      <c r="N6" s="77">
        <v>51383.1</v>
      </c>
    </row>
    <row r="7" spans="1:19" s="82" customFormat="1" ht="9.9" customHeight="1" x14ac:dyDescent="0.2">
      <c r="A7" s="115"/>
      <c r="B7" s="116" t="s">
        <v>18</v>
      </c>
      <c r="C7" s="76">
        <v>45958.7</v>
      </c>
      <c r="D7" s="76">
        <v>46076.2</v>
      </c>
      <c r="E7" s="76">
        <v>47131</v>
      </c>
      <c r="F7" s="76">
        <v>46370.400000000001</v>
      </c>
      <c r="G7" s="76">
        <v>46946.1</v>
      </c>
      <c r="H7" s="76">
        <v>48026.1</v>
      </c>
      <c r="I7" s="76">
        <v>48001.1</v>
      </c>
      <c r="J7" s="76">
        <v>48686.400000000001</v>
      </c>
      <c r="K7" s="76">
        <v>50069.4</v>
      </c>
      <c r="L7" s="76">
        <v>50481.9</v>
      </c>
      <c r="M7" s="76">
        <v>51427.4</v>
      </c>
      <c r="N7" s="77">
        <v>50425.4</v>
      </c>
      <c r="S7" s="83"/>
    </row>
    <row r="8" spans="1:19" s="89" customFormat="1" ht="9.9" customHeight="1" x14ac:dyDescent="0.2">
      <c r="A8" s="117"/>
      <c r="B8" s="118" t="s">
        <v>19</v>
      </c>
      <c r="C8" s="86">
        <v>9854.4</v>
      </c>
      <c r="D8" s="86">
        <v>9594.4</v>
      </c>
      <c r="E8" s="86">
        <v>5741.7</v>
      </c>
      <c r="F8" s="86">
        <v>6340.7</v>
      </c>
      <c r="G8" s="86">
        <v>7440.7</v>
      </c>
      <c r="H8" s="86">
        <v>4271.1000000000004</v>
      </c>
      <c r="I8" s="86">
        <v>8463.2999999999993</v>
      </c>
      <c r="J8" s="86">
        <v>11786.4</v>
      </c>
      <c r="K8" s="86">
        <v>10646.4</v>
      </c>
      <c r="L8" s="86">
        <v>11596.4</v>
      </c>
      <c r="M8" s="86">
        <v>11246.4</v>
      </c>
      <c r="N8" s="106">
        <v>10923.8</v>
      </c>
      <c r="S8" s="90"/>
    </row>
    <row r="9" spans="1:19" s="89" customFormat="1" ht="9.9" customHeight="1" x14ac:dyDescent="0.2">
      <c r="A9" s="117"/>
      <c r="B9" s="118" t="s">
        <v>23</v>
      </c>
      <c r="C9" s="86">
        <v>36104.300000000003</v>
      </c>
      <c r="D9" s="86">
        <v>36481.800000000003</v>
      </c>
      <c r="E9" s="86">
        <v>41389.300000000003</v>
      </c>
      <c r="F9" s="86">
        <v>40029.699999999997</v>
      </c>
      <c r="G9" s="86">
        <v>39505.4</v>
      </c>
      <c r="H9" s="86">
        <v>43755</v>
      </c>
      <c r="I9" s="86">
        <v>39537.800000000003</v>
      </c>
      <c r="J9" s="86">
        <v>36900</v>
      </c>
      <c r="K9" s="86">
        <v>39423</v>
      </c>
      <c r="L9" s="86">
        <v>38885.5</v>
      </c>
      <c r="M9" s="86">
        <v>40181</v>
      </c>
      <c r="N9" s="106">
        <v>39501.599999999999</v>
      </c>
    </row>
    <row r="10" spans="1:19" s="82" customFormat="1" ht="9.9" customHeight="1" x14ac:dyDescent="0.2">
      <c r="A10" s="115"/>
      <c r="B10" s="116" t="s">
        <v>24</v>
      </c>
      <c r="C10" s="107">
        <v>3470.9</v>
      </c>
      <c r="D10" s="107">
        <v>3353.4</v>
      </c>
      <c r="E10" s="107">
        <v>2798.6</v>
      </c>
      <c r="F10" s="107">
        <v>2629.2</v>
      </c>
      <c r="G10" s="107">
        <v>2595.5</v>
      </c>
      <c r="H10" s="107">
        <v>2365.5</v>
      </c>
      <c r="I10" s="107">
        <v>2390.5</v>
      </c>
      <c r="J10" s="107">
        <v>2401.6999999999998</v>
      </c>
      <c r="K10" s="107">
        <v>2318.6999999999998</v>
      </c>
      <c r="L10" s="107">
        <v>2406.1999999999998</v>
      </c>
      <c r="M10" s="107">
        <v>2195.6999999999998</v>
      </c>
      <c r="N10" s="108">
        <v>957.7</v>
      </c>
      <c r="S10" s="83"/>
    </row>
    <row r="11" spans="1:19" s="89" customFormat="1" ht="9.9" customHeight="1" x14ac:dyDescent="0.2">
      <c r="A11" s="117"/>
      <c r="B11" s="118" t="s">
        <v>25</v>
      </c>
      <c r="C11" s="87">
        <v>690</v>
      </c>
      <c r="D11" s="87">
        <v>640</v>
      </c>
      <c r="E11" s="87">
        <v>500</v>
      </c>
      <c r="F11" s="87">
        <v>500</v>
      </c>
      <c r="G11" s="87">
        <v>450</v>
      </c>
      <c r="H11" s="87">
        <v>510</v>
      </c>
      <c r="I11" s="87">
        <v>610</v>
      </c>
      <c r="J11" s="87">
        <v>550</v>
      </c>
      <c r="K11" s="87">
        <v>430</v>
      </c>
      <c r="L11" s="87">
        <v>480</v>
      </c>
      <c r="M11" s="87">
        <v>240</v>
      </c>
      <c r="N11" s="88">
        <v>200</v>
      </c>
      <c r="S11" s="90"/>
    </row>
    <row r="12" spans="1:19" s="71" customFormat="1" ht="9.9" customHeight="1" x14ac:dyDescent="0.2">
      <c r="A12" s="113">
        <v>2</v>
      </c>
      <c r="B12" s="114" t="s">
        <v>26</v>
      </c>
      <c r="C12" s="76">
        <v>17549.2</v>
      </c>
      <c r="D12" s="76">
        <v>17549.2</v>
      </c>
      <c r="E12" s="76">
        <v>17549.2</v>
      </c>
      <c r="F12" s="76">
        <v>17549.2</v>
      </c>
      <c r="G12" s="76">
        <v>17549.2</v>
      </c>
      <c r="H12" s="76">
        <v>17549.2</v>
      </c>
      <c r="I12" s="76">
        <v>16999.2</v>
      </c>
      <c r="J12" s="76">
        <v>16999.2</v>
      </c>
      <c r="K12" s="76">
        <v>16999.2</v>
      </c>
      <c r="L12" s="76">
        <v>16999.2</v>
      </c>
      <c r="M12" s="76">
        <v>18499.2</v>
      </c>
      <c r="N12" s="77">
        <v>19999.2</v>
      </c>
      <c r="S12" s="91"/>
    </row>
    <row r="13" spans="1:19" s="82" customFormat="1" ht="9.9" customHeight="1" x14ac:dyDescent="0.2">
      <c r="A13" s="115"/>
      <c r="B13" s="116" t="s">
        <v>18</v>
      </c>
      <c r="C13" s="80">
        <v>9729.7999999999993</v>
      </c>
      <c r="D13" s="80">
        <v>9729.7999999999993</v>
      </c>
      <c r="E13" s="80">
        <v>9660.1</v>
      </c>
      <c r="F13" s="80">
        <v>9546.1</v>
      </c>
      <c r="G13" s="80">
        <v>9117.2000000000007</v>
      </c>
      <c r="H13" s="80">
        <v>9021.2000000000007</v>
      </c>
      <c r="I13" s="80">
        <v>8263.1</v>
      </c>
      <c r="J13" s="80">
        <v>8147.6</v>
      </c>
      <c r="K13" s="80">
        <v>8106.1</v>
      </c>
      <c r="L13" s="80">
        <v>8106.1</v>
      </c>
      <c r="M13" s="80">
        <v>8913.2000000000007</v>
      </c>
      <c r="N13" s="81">
        <v>9623.2000000000007</v>
      </c>
      <c r="P13" s="83"/>
      <c r="Q13" s="83"/>
      <c r="S13" s="83"/>
    </row>
    <row r="14" spans="1:19" s="89" customFormat="1" ht="9.9" customHeight="1" x14ac:dyDescent="0.2">
      <c r="A14" s="117"/>
      <c r="B14" s="118" t="s">
        <v>53</v>
      </c>
      <c r="C14" s="86">
        <v>3142.4</v>
      </c>
      <c r="D14" s="86">
        <v>3142.4</v>
      </c>
      <c r="E14" s="86">
        <v>3072.7</v>
      </c>
      <c r="F14" s="86">
        <v>2958.7</v>
      </c>
      <c r="G14" s="86">
        <v>2529.8000000000002</v>
      </c>
      <c r="H14" s="86">
        <v>2433.8000000000002</v>
      </c>
      <c r="I14" s="86">
        <v>1675.7</v>
      </c>
      <c r="J14" s="86">
        <v>1560.2</v>
      </c>
      <c r="K14" s="86">
        <v>1518.7</v>
      </c>
      <c r="L14" s="86">
        <v>1518.7</v>
      </c>
      <c r="M14" s="86">
        <v>1518.7</v>
      </c>
      <c r="N14" s="106">
        <v>1518.7</v>
      </c>
      <c r="P14" s="90"/>
      <c r="Q14" s="90"/>
      <c r="S14" s="90"/>
    </row>
    <row r="15" spans="1:19" s="89" customFormat="1" ht="9.9" customHeight="1" x14ac:dyDescent="0.2">
      <c r="A15" s="117"/>
      <c r="B15" s="118" t="s">
        <v>23</v>
      </c>
      <c r="C15" s="86">
        <v>6587.4</v>
      </c>
      <c r="D15" s="86">
        <v>6587.4</v>
      </c>
      <c r="E15" s="86">
        <v>6587.4</v>
      </c>
      <c r="F15" s="86">
        <v>6587.4</v>
      </c>
      <c r="G15" s="86">
        <v>6587.4</v>
      </c>
      <c r="H15" s="86">
        <v>6587.4</v>
      </c>
      <c r="I15" s="86">
        <v>6587.4</v>
      </c>
      <c r="J15" s="86">
        <v>6587.4</v>
      </c>
      <c r="K15" s="86">
        <v>6587.4</v>
      </c>
      <c r="L15" s="86">
        <v>6587.4</v>
      </c>
      <c r="M15" s="86">
        <v>7394.5</v>
      </c>
      <c r="N15" s="106">
        <v>8104.5</v>
      </c>
      <c r="S15" s="90"/>
    </row>
    <row r="16" spans="1:19" s="82" customFormat="1" ht="9.9" customHeight="1" x14ac:dyDescent="0.2">
      <c r="A16" s="115"/>
      <c r="B16" s="116" t="s">
        <v>54</v>
      </c>
      <c r="C16" s="107">
        <v>7819.4</v>
      </c>
      <c r="D16" s="107">
        <v>7819.4</v>
      </c>
      <c r="E16" s="107">
        <v>7889.1</v>
      </c>
      <c r="F16" s="107">
        <v>8003.1</v>
      </c>
      <c r="G16" s="107">
        <v>8432</v>
      </c>
      <c r="H16" s="107">
        <v>8528</v>
      </c>
      <c r="I16" s="107">
        <v>8736.1</v>
      </c>
      <c r="J16" s="107">
        <v>8851.6</v>
      </c>
      <c r="K16" s="107">
        <v>8893.1</v>
      </c>
      <c r="L16" s="107">
        <v>8893.1</v>
      </c>
      <c r="M16" s="107">
        <v>9586</v>
      </c>
      <c r="N16" s="108">
        <v>10376</v>
      </c>
      <c r="P16" s="83"/>
      <c r="Q16" s="83"/>
      <c r="S16" s="83"/>
    </row>
    <row r="17" spans="1:19" s="71" customFormat="1" ht="9.9" customHeight="1" x14ac:dyDescent="0.2">
      <c r="A17" s="113">
        <v>3</v>
      </c>
      <c r="B17" s="114" t="s">
        <v>83</v>
      </c>
      <c r="C17" s="76">
        <v>9029.7999999999993</v>
      </c>
      <c r="D17" s="76">
        <v>9029.7999999999993</v>
      </c>
      <c r="E17" s="76">
        <v>9029.7999999999993</v>
      </c>
      <c r="F17" s="76">
        <v>9029.7999999999993</v>
      </c>
      <c r="G17" s="76">
        <v>9029.7999999999993</v>
      </c>
      <c r="H17" s="76">
        <v>9029.7999999999993</v>
      </c>
      <c r="I17" s="76">
        <v>9029.7999999999993</v>
      </c>
      <c r="J17" s="76">
        <v>8559.7999999999993</v>
      </c>
      <c r="K17" s="76">
        <v>8776.7999999999993</v>
      </c>
      <c r="L17" s="76">
        <v>8076.8</v>
      </c>
      <c r="M17" s="76">
        <v>7376.8</v>
      </c>
      <c r="N17" s="77">
        <v>6576.8</v>
      </c>
      <c r="P17" s="91"/>
      <c r="Q17" s="91"/>
      <c r="S17" s="91"/>
    </row>
    <row r="18" spans="1:19" s="82" customFormat="1" ht="9.9" customHeight="1" x14ac:dyDescent="0.2">
      <c r="A18" s="115"/>
      <c r="B18" s="116" t="s">
        <v>18</v>
      </c>
      <c r="C18" s="80">
        <v>422.9</v>
      </c>
      <c r="D18" s="80">
        <v>275.5</v>
      </c>
      <c r="E18" s="80">
        <v>274.8</v>
      </c>
      <c r="F18" s="80">
        <v>267.7</v>
      </c>
      <c r="G18" s="80">
        <v>301.60000000000002</v>
      </c>
      <c r="H18" s="80">
        <v>253.5</v>
      </c>
      <c r="I18" s="80">
        <v>198.5</v>
      </c>
      <c r="J18" s="80">
        <v>98.4</v>
      </c>
      <c r="K18" s="80">
        <v>250.5</v>
      </c>
      <c r="L18" s="80">
        <v>241.7</v>
      </c>
      <c r="M18" s="80">
        <v>233.9</v>
      </c>
      <c r="N18" s="81">
        <v>231.4</v>
      </c>
      <c r="S18" s="83"/>
    </row>
    <row r="19" spans="1:19" s="89" customFormat="1" ht="9.9" customHeight="1" x14ac:dyDescent="0.2">
      <c r="A19" s="117"/>
      <c r="B19" s="118" t="s">
        <v>19</v>
      </c>
      <c r="C19" s="86">
        <v>312.89999999999998</v>
      </c>
      <c r="D19" s="86">
        <v>165.5</v>
      </c>
      <c r="E19" s="86">
        <v>164.8</v>
      </c>
      <c r="F19" s="86">
        <v>157.69999999999999</v>
      </c>
      <c r="G19" s="86">
        <v>191.6</v>
      </c>
      <c r="H19" s="86">
        <v>143.5</v>
      </c>
      <c r="I19" s="86">
        <v>88.5</v>
      </c>
      <c r="J19" s="86">
        <v>98.4</v>
      </c>
      <c r="K19" s="86">
        <v>250.5</v>
      </c>
      <c r="L19" s="86">
        <v>241.7</v>
      </c>
      <c r="M19" s="86">
        <v>233.9</v>
      </c>
      <c r="N19" s="106">
        <v>231.4</v>
      </c>
      <c r="S19" s="90"/>
    </row>
    <row r="20" spans="1:19" s="89" customFormat="1" ht="9.9" customHeight="1" x14ac:dyDescent="0.2">
      <c r="A20" s="117"/>
      <c r="B20" s="118" t="s">
        <v>23</v>
      </c>
      <c r="C20" s="86">
        <v>110</v>
      </c>
      <c r="D20" s="86">
        <v>110</v>
      </c>
      <c r="E20" s="86">
        <v>110</v>
      </c>
      <c r="F20" s="86">
        <v>110</v>
      </c>
      <c r="G20" s="86">
        <v>110</v>
      </c>
      <c r="H20" s="86">
        <v>110</v>
      </c>
      <c r="I20" s="86">
        <v>110</v>
      </c>
      <c r="J20" s="86">
        <v>0</v>
      </c>
      <c r="K20" s="86">
        <v>0</v>
      </c>
      <c r="L20" s="86">
        <v>0</v>
      </c>
      <c r="M20" s="86">
        <v>0</v>
      </c>
      <c r="N20" s="106">
        <v>0</v>
      </c>
      <c r="P20" s="90"/>
      <c r="Q20" s="90"/>
      <c r="S20" s="90"/>
    </row>
    <row r="21" spans="1:19" s="82" customFormat="1" ht="9.9" customHeight="1" x14ac:dyDescent="0.2">
      <c r="A21" s="115"/>
      <c r="B21" s="116" t="s">
        <v>55</v>
      </c>
      <c r="C21" s="107">
        <v>8606.9</v>
      </c>
      <c r="D21" s="107">
        <v>8754.2999999999993</v>
      </c>
      <c r="E21" s="107">
        <v>8755</v>
      </c>
      <c r="F21" s="107">
        <v>8762.1</v>
      </c>
      <c r="G21" s="107">
        <v>8728.2000000000007</v>
      </c>
      <c r="H21" s="107">
        <v>8776.2999999999993</v>
      </c>
      <c r="I21" s="107">
        <v>8831.2999999999993</v>
      </c>
      <c r="J21" s="107">
        <v>8461.4</v>
      </c>
      <c r="K21" s="107">
        <v>8526.2999999999993</v>
      </c>
      <c r="L21" s="107">
        <v>7835.1</v>
      </c>
      <c r="M21" s="107">
        <v>7142.9</v>
      </c>
      <c r="N21" s="108">
        <v>6345.4</v>
      </c>
      <c r="P21" s="83"/>
      <c r="Q21" s="83"/>
      <c r="S21" s="83"/>
    </row>
    <row r="22" spans="1:19" s="82" customFormat="1" ht="9.9" customHeight="1" x14ac:dyDescent="0.2">
      <c r="A22" s="113">
        <v>4</v>
      </c>
      <c r="B22" s="114" t="s">
        <v>84</v>
      </c>
      <c r="C22" s="76">
        <v>1178.9000000000001</v>
      </c>
      <c r="D22" s="76">
        <v>1178.9000000000001</v>
      </c>
      <c r="E22" s="76">
        <v>1178.9000000000001</v>
      </c>
      <c r="F22" s="76">
        <v>1178.9000000000001</v>
      </c>
      <c r="G22" s="76">
        <v>1178.9000000000001</v>
      </c>
      <c r="H22" s="76">
        <v>1178.9000000000001</v>
      </c>
      <c r="I22" s="76">
        <v>1178.9000000000001</v>
      </c>
      <c r="J22" s="76">
        <v>1178.9000000000001</v>
      </c>
      <c r="K22" s="76">
        <v>1178.9000000000001</v>
      </c>
      <c r="L22" s="76">
        <v>1178.9000000000001</v>
      </c>
      <c r="M22" s="76">
        <v>1178.9000000000001</v>
      </c>
      <c r="N22" s="77">
        <v>1428.9</v>
      </c>
      <c r="P22" s="83"/>
      <c r="Q22" s="83"/>
      <c r="S22" s="83"/>
    </row>
    <row r="23" spans="1:19" s="82" customFormat="1" ht="9.9" customHeight="1" x14ac:dyDescent="0.2">
      <c r="A23" s="115"/>
      <c r="B23" s="116" t="s">
        <v>18</v>
      </c>
      <c r="C23" s="80">
        <v>46.8</v>
      </c>
      <c r="D23" s="80">
        <v>47.2</v>
      </c>
      <c r="E23" s="80">
        <v>47.2</v>
      </c>
      <c r="F23" s="80">
        <v>47.6</v>
      </c>
      <c r="G23" s="80">
        <v>47.6</v>
      </c>
      <c r="H23" s="80">
        <v>47.6</v>
      </c>
      <c r="I23" s="80">
        <v>47.6</v>
      </c>
      <c r="J23" s="80">
        <v>47.6</v>
      </c>
      <c r="K23" s="80">
        <v>47.6</v>
      </c>
      <c r="L23" s="80">
        <v>48.6</v>
      </c>
      <c r="M23" s="80">
        <v>48.6</v>
      </c>
      <c r="N23" s="81">
        <v>49.6</v>
      </c>
      <c r="P23" s="83"/>
      <c r="Q23" s="83"/>
      <c r="S23" s="83"/>
    </row>
    <row r="24" spans="1:19" s="89" customFormat="1" ht="9.9" customHeight="1" x14ac:dyDescent="0.2">
      <c r="A24" s="117"/>
      <c r="B24" s="118" t="s">
        <v>19</v>
      </c>
      <c r="C24" s="86">
        <v>46.8</v>
      </c>
      <c r="D24" s="86">
        <v>47.2</v>
      </c>
      <c r="E24" s="86">
        <v>47.2</v>
      </c>
      <c r="F24" s="86">
        <v>47.6</v>
      </c>
      <c r="G24" s="86">
        <v>47.6</v>
      </c>
      <c r="H24" s="86">
        <v>47.6</v>
      </c>
      <c r="I24" s="86">
        <v>47.6</v>
      </c>
      <c r="J24" s="86">
        <v>47.6</v>
      </c>
      <c r="K24" s="86">
        <v>47.6</v>
      </c>
      <c r="L24" s="86">
        <v>48.6</v>
      </c>
      <c r="M24" s="86">
        <v>48.6</v>
      </c>
      <c r="N24" s="106">
        <v>49.6</v>
      </c>
      <c r="P24" s="90"/>
      <c r="Q24" s="90"/>
      <c r="S24" s="90"/>
    </row>
    <row r="25" spans="1:19" s="82" customFormat="1" ht="9.9" customHeight="1" x14ac:dyDescent="0.2">
      <c r="A25" s="115"/>
      <c r="B25" s="116" t="s">
        <v>85</v>
      </c>
      <c r="C25" s="107">
        <v>1132.0999999999999</v>
      </c>
      <c r="D25" s="107">
        <v>1131.7</v>
      </c>
      <c r="E25" s="107">
        <v>1131.7</v>
      </c>
      <c r="F25" s="107">
        <v>1131.3</v>
      </c>
      <c r="G25" s="107">
        <v>1131.3</v>
      </c>
      <c r="H25" s="107">
        <v>1131.3</v>
      </c>
      <c r="I25" s="107">
        <v>1131.3</v>
      </c>
      <c r="J25" s="107">
        <v>1131.3</v>
      </c>
      <c r="K25" s="107">
        <v>1131.3</v>
      </c>
      <c r="L25" s="107">
        <v>1130.3</v>
      </c>
      <c r="M25" s="107">
        <v>1130.3</v>
      </c>
      <c r="N25" s="108">
        <v>1379.3</v>
      </c>
      <c r="P25" s="83"/>
      <c r="Q25" s="83"/>
      <c r="S25" s="83"/>
    </row>
    <row r="26" spans="1:19" s="71" customFormat="1" ht="9.9" customHeight="1" x14ac:dyDescent="0.2">
      <c r="A26" s="113">
        <v>5</v>
      </c>
      <c r="B26" s="114" t="s">
        <v>34</v>
      </c>
      <c r="C26" s="76">
        <v>8962.2000000000007</v>
      </c>
      <c r="D26" s="76">
        <v>8962.2000000000007</v>
      </c>
      <c r="E26" s="76">
        <v>8970.2000000000007</v>
      </c>
      <c r="F26" s="76">
        <v>8970.2000000000007</v>
      </c>
      <c r="G26" s="76">
        <v>8978.9</v>
      </c>
      <c r="H26" s="76">
        <v>8984.2000000000007</v>
      </c>
      <c r="I26" s="76">
        <v>8862</v>
      </c>
      <c r="J26" s="76">
        <v>8306.7000000000007</v>
      </c>
      <c r="K26" s="76">
        <v>8145.7</v>
      </c>
      <c r="L26" s="76">
        <v>8170.5</v>
      </c>
      <c r="M26" s="76">
        <v>8176.3</v>
      </c>
      <c r="N26" s="77">
        <f>N27+N30</f>
        <v>3454</v>
      </c>
      <c r="S26" s="91"/>
    </row>
    <row r="27" spans="1:19" s="82" customFormat="1" ht="9.9" customHeight="1" x14ac:dyDescent="0.2">
      <c r="A27" s="115"/>
      <c r="B27" s="116" t="s">
        <v>18</v>
      </c>
      <c r="C27" s="80">
        <v>6530.9</v>
      </c>
      <c r="D27" s="80">
        <v>6530.9</v>
      </c>
      <c r="E27" s="80">
        <v>6530.9</v>
      </c>
      <c r="F27" s="80">
        <v>6530.9</v>
      </c>
      <c r="G27" s="80">
        <v>6530.9</v>
      </c>
      <c r="H27" s="80">
        <v>6530.9</v>
      </c>
      <c r="I27" s="80">
        <v>6407.2</v>
      </c>
      <c r="J27" s="80">
        <v>5851.9</v>
      </c>
      <c r="K27" s="80">
        <v>5666.9</v>
      </c>
      <c r="L27" s="80">
        <v>5666.9</v>
      </c>
      <c r="M27" s="80">
        <v>5666.9</v>
      </c>
      <c r="N27" s="81">
        <f>N28+N29</f>
        <v>944.6</v>
      </c>
      <c r="P27" s="83"/>
      <c r="Q27" s="83"/>
      <c r="S27" s="83"/>
    </row>
    <row r="28" spans="1:19" s="89" customFormat="1" ht="9.9" customHeight="1" x14ac:dyDescent="0.2">
      <c r="A28" s="117"/>
      <c r="B28" s="118" t="s">
        <v>56</v>
      </c>
      <c r="C28" s="87">
        <v>5586.3</v>
      </c>
      <c r="D28" s="87">
        <v>5586.3</v>
      </c>
      <c r="E28" s="87">
        <v>5586.3</v>
      </c>
      <c r="F28" s="87">
        <v>5586.3</v>
      </c>
      <c r="G28" s="87">
        <v>5586.3</v>
      </c>
      <c r="H28" s="87">
        <v>5586.3</v>
      </c>
      <c r="I28" s="87">
        <v>5462.6</v>
      </c>
      <c r="J28" s="87">
        <v>4907.3</v>
      </c>
      <c r="K28" s="87">
        <v>4722.3</v>
      </c>
      <c r="L28" s="87">
        <v>4722.3</v>
      </c>
      <c r="M28" s="87">
        <v>4722.3</v>
      </c>
      <c r="N28" s="88">
        <v>0</v>
      </c>
      <c r="S28" s="90"/>
    </row>
    <row r="29" spans="1:19" s="89" customFormat="1" ht="9.9" customHeight="1" x14ac:dyDescent="0.2">
      <c r="A29" s="117"/>
      <c r="B29" s="118" t="s">
        <v>23</v>
      </c>
      <c r="C29" s="86">
        <v>944.6</v>
      </c>
      <c r="D29" s="86">
        <v>944.6</v>
      </c>
      <c r="E29" s="86">
        <v>944.6</v>
      </c>
      <c r="F29" s="86">
        <v>944.6</v>
      </c>
      <c r="G29" s="86">
        <v>944.6</v>
      </c>
      <c r="H29" s="86">
        <v>944.6</v>
      </c>
      <c r="I29" s="86">
        <v>944.6</v>
      </c>
      <c r="J29" s="86">
        <v>944.6</v>
      </c>
      <c r="K29" s="86">
        <v>944.6</v>
      </c>
      <c r="L29" s="86">
        <v>944.6</v>
      </c>
      <c r="M29" s="86">
        <v>944.6</v>
      </c>
      <c r="N29" s="106">
        <v>944.6</v>
      </c>
      <c r="S29" s="90"/>
    </row>
    <row r="30" spans="1:19" s="82" customFormat="1" ht="9.9" customHeight="1" x14ac:dyDescent="0.2">
      <c r="A30" s="115"/>
      <c r="B30" s="116" t="s">
        <v>36</v>
      </c>
      <c r="C30" s="107">
        <v>2431.3000000000002</v>
      </c>
      <c r="D30" s="107">
        <v>2431.3000000000002</v>
      </c>
      <c r="E30" s="107">
        <v>2439.3000000000002</v>
      </c>
      <c r="F30" s="107">
        <v>2439.3000000000002</v>
      </c>
      <c r="G30" s="107">
        <v>2448</v>
      </c>
      <c r="H30" s="107">
        <v>2453.3000000000002</v>
      </c>
      <c r="I30" s="107">
        <v>2454.8000000000002</v>
      </c>
      <c r="J30" s="107">
        <v>2454.8000000000002</v>
      </c>
      <c r="K30" s="107">
        <v>2478.8000000000002</v>
      </c>
      <c r="L30" s="107">
        <v>2503.6</v>
      </c>
      <c r="M30" s="107">
        <v>2509.4</v>
      </c>
      <c r="N30" s="108">
        <v>2509.4</v>
      </c>
      <c r="S30" s="83"/>
    </row>
    <row r="31" spans="1:19" s="82" customFormat="1" ht="9.9" customHeight="1" x14ac:dyDescent="0.2">
      <c r="A31" s="115"/>
      <c r="B31" s="116" t="s">
        <v>98</v>
      </c>
      <c r="C31" s="107">
        <v>941.74</v>
      </c>
      <c r="D31" s="107">
        <v>957.8</v>
      </c>
      <c r="E31" s="107">
        <v>973.8</v>
      </c>
      <c r="F31" s="107">
        <v>965.7</v>
      </c>
      <c r="G31" s="107">
        <v>974.5</v>
      </c>
      <c r="H31" s="107">
        <v>974.5</v>
      </c>
      <c r="I31" s="107">
        <v>981.3</v>
      </c>
      <c r="J31" s="107">
        <v>981.3</v>
      </c>
      <c r="K31" s="107">
        <v>1005.3</v>
      </c>
      <c r="L31" s="107">
        <v>1030.0999999999999</v>
      </c>
      <c r="M31" s="107">
        <v>1035.9000000000001</v>
      </c>
      <c r="N31" s="108">
        <v>1035.9000000000001</v>
      </c>
      <c r="S31" s="83"/>
    </row>
    <row r="32" spans="1:19" s="71" customFormat="1" ht="9.9" customHeight="1" x14ac:dyDescent="0.2">
      <c r="A32" s="119">
        <v>6</v>
      </c>
      <c r="B32" s="114" t="s">
        <v>69</v>
      </c>
      <c r="C32" s="76">
        <v>-4383.8</v>
      </c>
      <c r="D32" s="76">
        <v>-4594.3999999999996</v>
      </c>
      <c r="E32" s="76">
        <v>-2346.1</v>
      </c>
      <c r="F32" s="76">
        <v>-2158.1</v>
      </c>
      <c r="G32" s="76">
        <v>-2557.3000000000002</v>
      </c>
      <c r="H32" s="76">
        <v>-4599.1000000000004</v>
      </c>
      <c r="I32" s="76">
        <v>-4503.3999999999996</v>
      </c>
      <c r="J32" s="76">
        <v>-2777.4</v>
      </c>
      <c r="K32" s="76">
        <v>-4769.3</v>
      </c>
      <c r="L32" s="76">
        <v>-4122.1000000000004</v>
      </c>
      <c r="M32" s="76">
        <v>-6600.5</v>
      </c>
      <c r="N32" s="77">
        <v>2623</v>
      </c>
      <c r="S32" s="91"/>
    </row>
    <row r="33" spans="1:19" s="82" customFormat="1" ht="9.9" customHeight="1" x14ac:dyDescent="0.2">
      <c r="A33" s="115"/>
      <c r="B33" s="116" t="s">
        <v>70</v>
      </c>
      <c r="C33" s="107">
        <v>-4383.8</v>
      </c>
      <c r="D33" s="107">
        <v>-4594.3999999999996</v>
      </c>
      <c r="E33" s="107">
        <v>-2346.1</v>
      </c>
      <c r="F33" s="107">
        <v>-2158.1</v>
      </c>
      <c r="G33" s="107">
        <v>-2557.3000000000002</v>
      </c>
      <c r="H33" s="107">
        <v>-4599.1000000000004</v>
      </c>
      <c r="I33" s="107">
        <v>-4503.3999999999996</v>
      </c>
      <c r="J33" s="107">
        <v>-2777.4</v>
      </c>
      <c r="K33" s="107">
        <v>-4769.3</v>
      </c>
      <c r="L33" s="107">
        <v>-4122.1000000000004</v>
      </c>
      <c r="M33" s="107">
        <v>-6600.5</v>
      </c>
      <c r="N33" s="108">
        <v>2623</v>
      </c>
      <c r="S33" s="83"/>
    </row>
    <row r="34" spans="1:19" s="71" customFormat="1" ht="9.9" customHeight="1" x14ac:dyDescent="0.2">
      <c r="A34" s="113">
        <v>7</v>
      </c>
      <c r="B34" s="114" t="s">
        <v>38</v>
      </c>
      <c r="C34" s="76">
        <v>81765.899999999994</v>
      </c>
      <c r="D34" s="76">
        <v>81555.3</v>
      </c>
      <c r="E34" s="76">
        <v>84311.6</v>
      </c>
      <c r="F34" s="76">
        <v>83569.600000000006</v>
      </c>
      <c r="G34" s="76">
        <v>83721.100000000006</v>
      </c>
      <c r="H34" s="76">
        <v>82534.600000000006</v>
      </c>
      <c r="I34" s="76">
        <v>81958.100000000006</v>
      </c>
      <c r="J34" s="76">
        <v>83355.3</v>
      </c>
      <c r="K34" s="76">
        <v>82719.399999999994</v>
      </c>
      <c r="L34" s="76">
        <v>83191.399999999994</v>
      </c>
      <c r="M34" s="76">
        <v>82253.8</v>
      </c>
      <c r="N34" s="77">
        <v>90187.3</v>
      </c>
      <c r="S34" s="91"/>
    </row>
    <row r="35" spans="1:19" s="82" customFormat="1" ht="9.9" customHeight="1" x14ac:dyDescent="0.2">
      <c r="A35" s="120"/>
      <c r="B35" s="116" t="s">
        <v>18</v>
      </c>
      <c r="C35" s="80">
        <v>58305.3</v>
      </c>
      <c r="D35" s="80">
        <v>58065.2</v>
      </c>
      <c r="E35" s="80">
        <v>61297.9</v>
      </c>
      <c r="F35" s="80">
        <v>60604.6</v>
      </c>
      <c r="G35" s="80">
        <v>60386.1</v>
      </c>
      <c r="H35" s="80">
        <v>59280.2</v>
      </c>
      <c r="I35" s="80">
        <v>58414.1</v>
      </c>
      <c r="J35" s="80">
        <v>60054.5</v>
      </c>
      <c r="K35" s="80">
        <v>59371.199999999997</v>
      </c>
      <c r="L35" s="80">
        <v>60423.1</v>
      </c>
      <c r="M35" s="80">
        <v>59689.5</v>
      </c>
      <c r="N35" s="81">
        <v>68619.5</v>
      </c>
      <c r="S35" s="83"/>
    </row>
    <row r="36" spans="1:19" s="89" customFormat="1" ht="9.9" customHeight="1" x14ac:dyDescent="0.2">
      <c r="A36" s="121"/>
      <c r="B36" s="118" t="s">
        <v>19</v>
      </c>
      <c r="C36" s="87">
        <v>14559</v>
      </c>
      <c r="D36" s="87">
        <v>13941.4</v>
      </c>
      <c r="E36" s="87">
        <v>12266.6</v>
      </c>
      <c r="F36" s="87">
        <v>12932.9</v>
      </c>
      <c r="G36" s="87">
        <v>13238.7</v>
      </c>
      <c r="H36" s="87">
        <v>7883.2</v>
      </c>
      <c r="I36" s="87">
        <v>11234.3</v>
      </c>
      <c r="J36" s="87">
        <v>15622.5</v>
      </c>
      <c r="K36" s="87">
        <v>12416.2</v>
      </c>
      <c r="L36" s="87">
        <v>14005.6</v>
      </c>
      <c r="M36" s="87">
        <v>11169.4</v>
      </c>
      <c r="N36" s="88">
        <v>20068.8</v>
      </c>
      <c r="S36" s="90"/>
    </row>
    <row r="37" spans="1:19" s="89" customFormat="1" ht="9.9" customHeight="1" x14ac:dyDescent="0.2">
      <c r="A37" s="121"/>
      <c r="B37" s="118" t="s">
        <v>23</v>
      </c>
      <c r="C37" s="87">
        <v>43746.3</v>
      </c>
      <c r="D37" s="87">
        <v>44123.8</v>
      </c>
      <c r="E37" s="87">
        <v>49031.3</v>
      </c>
      <c r="F37" s="87">
        <v>47671.7</v>
      </c>
      <c r="G37" s="87">
        <v>47147.4</v>
      </c>
      <c r="H37" s="87">
        <v>51397</v>
      </c>
      <c r="I37" s="87">
        <v>47179.8</v>
      </c>
      <c r="J37" s="87">
        <v>44432</v>
      </c>
      <c r="K37" s="87">
        <v>46955</v>
      </c>
      <c r="L37" s="87">
        <v>46417.5</v>
      </c>
      <c r="M37" s="87">
        <v>48520.1</v>
      </c>
      <c r="N37" s="88">
        <v>48550.7</v>
      </c>
      <c r="S37" s="90"/>
    </row>
    <row r="38" spans="1:19" s="82" customFormat="1" ht="9.9" customHeight="1" x14ac:dyDescent="0.2">
      <c r="A38" s="120"/>
      <c r="B38" s="116" t="s">
        <v>24</v>
      </c>
      <c r="C38" s="80">
        <v>23460.6</v>
      </c>
      <c r="D38" s="80">
        <v>23490.1</v>
      </c>
      <c r="E38" s="80">
        <v>23013.7</v>
      </c>
      <c r="F38" s="80">
        <v>22965</v>
      </c>
      <c r="G38" s="80">
        <v>23335</v>
      </c>
      <c r="H38" s="80">
        <v>23254.400000000001</v>
      </c>
      <c r="I38" s="80">
        <v>23544</v>
      </c>
      <c r="J38" s="80">
        <v>23300.799999999999</v>
      </c>
      <c r="K38" s="80">
        <v>23348.2</v>
      </c>
      <c r="L38" s="80">
        <v>22768.3</v>
      </c>
      <c r="M38" s="80">
        <v>22564.3</v>
      </c>
      <c r="N38" s="81">
        <v>21567.8</v>
      </c>
      <c r="P38" s="83"/>
      <c r="Q38" s="83"/>
      <c r="S38" s="83"/>
    </row>
    <row r="39" spans="1:19" s="89" customFormat="1" ht="9.9" customHeight="1" thickBot="1" x14ac:dyDescent="0.25">
      <c r="A39" s="122"/>
      <c r="B39" s="123" t="s">
        <v>25</v>
      </c>
      <c r="C39" s="97">
        <v>690</v>
      </c>
      <c r="D39" s="97">
        <v>640</v>
      </c>
      <c r="E39" s="97">
        <v>500</v>
      </c>
      <c r="F39" s="97">
        <v>500</v>
      </c>
      <c r="G39" s="97">
        <v>450</v>
      </c>
      <c r="H39" s="97">
        <v>510</v>
      </c>
      <c r="I39" s="97">
        <v>610</v>
      </c>
      <c r="J39" s="97">
        <v>550</v>
      </c>
      <c r="K39" s="97">
        <v>430</v>
      </c>
      <c r="L39" s="97">
        <v>480</v>
      </c>
      <c r="M39" s="97">
        <v>240</v>
      </c>
      <c r="N39" s="98">
        <v>200</v>
      </c>
      <c r="P39" s="90"/>
      <c r="Q39" s="90"/>
      <c r="S39" s="90"/>
    </row>
    <row r="40" spans="1:19" s="89" customFormat="1" ht="9.9" customHeight="1" thickTop="1" x14ac:dyDescent="0.2">
      <c r="A40" s="136" t="s">
        <v>21</v>
      </c>
      <c r="B40" s="100" t="s">
        <v>58</v>
      </c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P40" s="90"/>
      <c r="Q40" s="90"/>
      <c r="S40" s="90"/>
    </row>
    <row r="41" spans="1:19" s="89" customFormat="1" ht="9.9" customHeight="1" x14ac:dyDescent="0.2">
      <c r="A41" s="136" t="s">
        <v>59</v>
      </c>
      <c r="B41" s="100" t="s">
        <v>105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P41" s="90"/>
      <c r="Q41" s="90"/>
      <c r="S41" s="90"/>
    </row>
    <row r="42" spans="1:19" s="89" customFormat="1" ht="9.9" customHeight="1" x14ac:dyDescent="0.2">
      <c r="A42" s="136" t="s">
        <v>61</v>
      </c>
      <c r="B42" s="100" t="s">
        <v>106</v>
      </c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P42" s="90"/>
      <c r="Q42" s="90"/>
      <c r="S42" s="90"/>
    </row>
    <row r="43" spans="1:19" s="89" customFormat="1" ht="9.9" customHeight="1" x14ac:dyDescent="0.2">
      <c r="A43" s="150" t="s">
        <v>63</v>
      </c>
      <c r="B43" s="100" t="s">
        <v>107</v>
      </c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P43" s="90"/>
      <c r="Q43" s="90"/>
      <c r="S43" s="90"/>
    </row>
    <row r="44" spans="1:19" s="82" customFormat="1" ht="9.9" customHeight="1" x14ac:dyDescent="0.2">
      <c r="A44" s="102" t="s">
        <v>103</v>
      </c>
      <c r="D44" s="83"/>
    </row>
    <row r="45" spans="1:19" ht="12.75" customHeight="1" x14ac:dyDescent="0.15">
      <c r="A45" s="1"/>
      <c r="S45" s="155"/>
    </row>
    <row r="46" spans="1:19" ht="10.5" hidden="1" customHeight="1" x14ac:dyDescent="0.15">
      <c r="A46" s="156"/>
      <c r="B46" s="139" t="s">
        <v>108</v>
      </c>
      <c r="S46" s="155"/>
    </row>
    <row r="47" spans="1:19" ht="10.5" hidden="1" customHeight="1" x14ac:dyDescent="0.15">
      <c r="A47" s="156"/>
      <c r="B47" s="139" t="s">
        <v>109</v>
      </c>
      <c r="S47" s="155"/>
    </row>
    <row r="48" spans="1:19" ht="12.75" customHeight="1" x14ac:dyDescent="0.15">
      <c r="A48" s="1"/>
      <c r="G48" s="152"/>
      <c r="H48" s="152"/>
      <c r="I48" s="152"/>
      <c r="J48" s="152"/>
      <c r="K48" s="152"/>
      <c r="L48" s="152"/>
      <c r="M48" s="152"/>
      <c r="N48" s="152"/>
    </row>
    <row r="49" ht="12.75" customHeight="1" x14ac:dyDescent="0.15"/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workbookViewId="0">
      <selection activeCell="M28" sqref="M28"/>
    </sheetView>
  </sheetViews>
  <sheetFormatPr defaultColWidth="11" defaultRowHeight="7.8" x14ac:dyDescent="0.15"/>
  <cols>
    <col min="1" max="1" width="3.33203125" style="173" customWidth="1"/>
    <col min="2" max="2" width="21.88671875" style="157" customWidth="1"/>
    <col min="3" max="14" width="7.5546875" style="157" bestFit="1" customWidth="1"/>
    <col min="15" max="256" width="11" style="157"/>
    <col min="257" max="257" width="3.33203125" style="157" customWidth="1"/>
    <col min="258" max="258" width="21.88671875" style="157" customWidth="1"/>
    <col min="259" max="270" width="7.5546875" style="157" bestFit="1" customWidth="1"/>
    <col min="271" max="512" width="11" style="157"/>
    <col min="513" max="513" width="3.33203125" style="157" customWidth="1"/>
    <col min="514" max="514" width="21.88671875" style="157" customWidth="1"/>
    <col min="515" max="526" width="7.5546875" style="157" bestFit="1" customWidth="1"/>
    <col min="527" max="768" width="11" style="157"/>
    <col min="769" max="769" width="3.33203125" style="157" customWidth="1"/>
    <col min="770" max="770" width="21.88671875" style="157" customWidth="1"/>
    <col min="771" max="782" width="7.5546875" style="157" bestFit="1" customWidth="1"/>
    <col min="783" max="1024" width="11" style="157"/>
    <col min="1025" max="1025" width="3.33203125" style="157" customWidth="1"/>
    <col min="1026" max="1026" width="21.88671875" style="157" customWidth="1"/>
    <col min="1027" max="1038" width="7.5546875" style="157" bestFit="1" customWidth="1"/>
    <col min="1039" max="1280" width="11" style="157"/>
    <col min="1281" max="1281" width="3.33203125" style="157" customWidth="1"/>
    <col min="1282" max="1282" width="21.88671875" style="157" customWidth="1"/>
    <col min="1283" max="1294" width="7.5546875" style="157" bestFit="1" customWidth="1"/>
    <col min="1295" max="1536" width="11" style="157"/>
    <col min="1537" max="1537" width="3.33203125" style="157" customWidth="1"/>
    <col min="1538" max="1538" width="21.88671875" style="157" customWidth="1"/>
    <col min="1539" max="1550" width="7.5546875" style="157" bestFit="1" customWidth="1"/>
    <col min="1551" max="1792" width="11" style="157"/>
    <col min="1793" max="1793" width="3.33203125" style="157" customWidth="1"/>
    <col min="1794" max="1794" width="21.88671875" style="157" customWidth="1"/>
    <col min="1795" max="1806" width="7.5546875" style="157" bestFit="1" customWidth="1"/>
    <col min="1807" max="2048" width="11" style="157"/>
    <col min="2049" max="2049" width="3.33203125" style="157" customWidth="1"/>
    <col min="2050" max="2050" width="21.88671875" style="157" customWidth="1"/>
    <col min="2051" max="2062" width="7.5546875" style="157" bestFit="1" customWidth="1"/>
    <col min="2063" max="2304" width="11" style="157"/>
    <col min="2305" max="2305" width="3.33203125" style="157" customWidth="1"/>
    <col min="2306" max="2306" width="21.88671875" style="157" customWidth="1"/>
    <col min="2307" max="2318" width="7.5546875" style="157" bestFit="1" customWidth="1"/>
    <col min="2319" max="2560" width="11" style="157"/>
    <col min="2561" max="2561" width="3.33203125" style="157" customWidth="1"/>
    <col min="2562" max="2562" width="21.88671875" style="157" customWidth="1"/>
    <col min="2563" max="2574" width="7.5546875" style="157" bestFit="1" customWidth="1"/>
    <col min="2575" max="2816" width="11" style="157"/>
    <col min="2817" max="2817" width="3.33203125" style="157" customWidth="1"/>
    <col min="2818" max="2818" width="21.88671875" style="157" customWidth="1"/>
    <col min="2819" max="2830" width="7.5546875" style="157" bestFit="1" customWidth="1"/>
    <col min="2831" max="3072" width="11" style="157"/>
    <col min="3073" max="3073" width="3.33203125" style="157" customWidth="1"/>
    <col min="3074" max="3074" width="21.88671875" style="157" customWidth="1"/>
    <col min="3075" max="3086" width="7.5546875" style="157" bestFit="1" customWidth="1"/>
    <col min="3087" max="3328" width="11" style="157"/>
    <col min="3329" max="3329" width="3.33203125" style="157" customWidth="1"/>
    <col min="3330" max="3330" width="21.88671875" style="157" customWidth="1"/>
    <col min="3331" max="3342" width="7.5546875" style="157" bestFit="1" customWidth="1"/>
    <col min="3343" max="3584" width="11" style="157"/>
    <col min="3585" max="3585" width="3.33203125" style="157" customWidth="1"/>
    <col min="3586" max="3586" width="21.88671875" style="157" customWidth="1"/>
    <col min="3587" max="3598" width="7.5546875" style="157" bestFit="1" customWidth="1"/>
    <col min="3599" max="3840" width="11" style="157"/>
    <col min="3841" max="3841" width="3.33203125" style="157" customWidth="1"/>
    <col min="3842" max="3842" width="21.88671875" style="157" customWidth="1"/>
    <col min="3843" max="3854" width="7.5546875" style="157" bestFit="1" customWidth="1"/>
    <col min="3855" max="4096" width="11" style="157"/>
    <col min="4097" max="4097" width="3.33203125" style="157" customWidth="1"/>
    <col min="4098" max="4098" width="21.88671875" style="157" customWidth="1"/>
    <col min="4099" max="4110" width="7.5546875" style="157" bestFit="1" customWidth="1"/>
    <col min="4111" max="4352" width="11" style="157"/>
    <col min="4353" max="4353" width="3.33203125" style="157" customWidth="1"/>
    <col min="4354" max="4354" width="21.88671875" style="157" customWidth="1"/>
    <col min="4355" max="4366" width="7.5546875" style="157" bestFit="1" customWidth="1"/>
    <col min="4367" max="4608" width="11" style="157"/>
    <col min="4609" max="4609" width="3.33203125" style="157" customWidth="1"/>
    <col min="4610" max="4610" width="21.88671875" style="157" customWidth="1"/>
    <col min="4611" max="4622" width="7.5546875" style="157" bestFit="1" customWidth="1"/>
    <col min="4623" max="4864" width="11" style="157"/>
    <col min="4865" max="4865" width="3.33203125" style="157" customWidth="1"/>
    <col min="4866" max="4866" width="21.88671875" style="157" customWidth="1"/>
    <col min="4867" max="4878" width="7.5546875" style="157" bestFit="1" customWidth="1"/>
    <col min="4879" max="5120" width="11" style="157"/>
    <col min="5121" max="5121" width="3.33203125" style="157" customWidth="1"/>
    <col min="5122" max="5122" width="21.88671875" style="157" customWidth="1"/>
    <col min="5123" max="5134" width="7.5546875" style="157" bestFit="1" customWidth="1"/>
    <col min="5135" max="5376" width="11" style="157"/>
    <col min="5377" max="5377" width="3.33203125" style="157" customWidth="1"/>
    <col min="5378" max="5378" width="21.88671875" style="157" customWidth="1"/>
    <col min="5379" max="5390" width="7.5546875" style="157" bestFit="1" customWidth="1"/>
    <col min="5391" max="5632" width="11" style="157"/>
    <col min="5633" max="5633" width="3.33203125" style="157" customWidth="1"/>
    <col min="5634" max="5634" width="21.88671875" style="157" customWidth="1"/>
    <col min="5635" max="5646" width="7.5546875" style="157" bestFit="1" customWidth="1"/>
    <col min="5647" max="5888" width="11" style="157"/>
    <col min="5889" max="5889" width="3.33203125" style="157" customWidth="1"/>
    <col min="5890" max="5890" width="21.88671875" style="157" customWidth="1"/>
    <col min="5891" max="5902" width="7.5546875" style="157" bestFit="1" customWidth="1"/>
    <col min="5903" max="6144" width="11" style="157"/>
    <col min="6145" max="6145" width="3.33203125" style="157" customWidth="1"/>
    <col min="6146" max="6146" width="21.88671875" style="157" customWidth="1"/>
    <col min="6147" max="6158" width="7.5546875" style="157" bestFit="1" customWidth="1"/>
    <col min="6159" max="6400" width="11" style="157"/>
    <col min="6401" max="6401" width="3.33203125" style="157" customWidth="1"/>
    <col min="6402" max="6402" width="21.88671875" style="157" customWidth="1"/>
    <col min="6403" max="6414" width="7.5546875" style="157" bestFit="1" customWidth="1"/>
    <col min="6415" max="6656" width="11" style="157"/>
    <col min="6657" max="6657" width="3.33203125" style="157" customWidth="1"/>
    <col min="6658" max="6658" width="21.88671875" style="157" customWidth="1"/>
    <col min="6659" max="6670" width="7.5546875" style="157" bestFit="1" customWidth="1"/>
    <col min="6671" max="6912" width="11" style="157"/>
    <col min="6913" max="6913" width="3.33203125" style="157" customWidth="1"/>
    <col min="6914" max="6914" width="21.88671875" style="157" customWidth="1"/>
    <col min="6915" max="6926" width="7.5546875" style="157" bestFit="1" customWidth="1"/>
    <col min="6927" max="7168" width="11" style="157"/>
    <col min="7169" max="7169" width="3.33203125" style="157" customWidth="1"/>
    <col min="7170" max="7170" width="21.88671875" style="157" customWidth="1"/>
    <col min="7171" max="7182" width="7.5546875" style="157" bestFit="1" customWidth="1"/>
    <col min="7183" max="7424" width="11" style="157"/>
    <col min="7425" max="7425" width="3.33203125" style="157" customWidth="1"/>
    <col min="7426" max="7426" width="21.88671875" style="157" customWidth="1"/>
    <col min="7427" max="7438" width="7.5546875" style="157" bestFit="1" customWidth="1"/>
    <col min="7439" max="7680" width="11" style="157"/>
    <col min="7681" max="7681" width="3.33203125" style="157" customWidth="1"/>
    <col min="7682" max="7682" width="21.88671875" style="157" customWidth="1"/>
    <col min="7683" max="7694" width="7.5546875" style="157" bestFit="1" customWidth="1"/>
    <col min="7695" max="7936" width="11" style="157"/>
    <col min="7937" max="7937" width="3.33203125" style="157" customWidth="1"/>
    <col min="7938" max="7938" width="21.88671875" style="157" customWidth="1"/>
    <col min="7939" max="7950" width="7.5546875" style="157" bestFit="1" customWidth="1"/>
    <col min="7951" max="8192" width="11" style="157"/>
    <col min="8193" max="8193" width="3.33203125" style="157" customWidth="1"/>
    <col min="8194" max="8194" width="21.88671875" style="157" customWidth="1"/>
    <col min="8195" max="8206" width="7.5546875" style="157" bestFit="1" customWidth="1"/>
    <col min="8207" max="8448" width="11" style="157"/>
    <col min="8449" max="8449" width="3.33203125" style="157" customWidth="1"/>
    <col min="8450" max="8450" width="21.88671875" style="157" customWidth="1"/>
    <col min="8451" max="8462" width="7.5546875" style="157" bestFit="1" customWidth="1"/>
    <col min="8463" max="8704" width="11" style="157"/>
    <col min="8705" max="8705" width="3.33203125" style="157" customWidth="1"/>
    <col min="8706" max="8706" width="21.88671875" style="157" customWidth="1"/>
    <col min="8707" max="8718" width="7.5546875" style="157" bestFit="1" customWidth="1"/>
    <col min="8719" max="8960" width="11" style="157"/>
    <col min="8961" max="8961" width="3.33203125" style="157" customWidth="1"/>
    <col min="8962" max="8962" width="21.88671875" style="157" customWidth="1"/>
    <col min="8963" max="8974" width="7.5546875" style="157" bestFit="1" customWidth="1"/>
    <col min="8975" max="9216" width="11" style="157"/>
    <col min="9217" max="9217" width="3.33203125" style="157" customWidth="1"/>
    <col min="9218" max="9218" width="21.88671875" style="157" customWidth="1"/>
    <col min="9219" max="9230" width="7.5546875" style="157" bestFit="1" customWidth="1"/>
    <col min="9231" max="9472" width="11" style="157"/>
    <col min="9473" max="9473" width="3.33203125" style="157" customWidth="1"/>
    <col min="9474" max="9474" width="21.88671875" style="157" customWidth="1"/>
    <col min="9475" max="9486" width="7.5546875" style="157" bestFit="1" customWidth="1"/>
    <col min="9487" max="9728" width="11" style="157"/>
    <col min="9729" max="9729" width="3.33203125" style="157" customWidth="1"/>
    <col min="9730" max="9730" width="21.88671875" style="157" customWidth="1"/>
    <col min="9731" max="9742" width="7.5546875" style="157" bestFit="1" customWidth="1"/>
    <col min="9743" max="9984" width="11" style="157"/>
    <col min="9985" max="9985" width="3.33203125" style="157" customWidth="1"/>
    <col min="9986" max="9986" width="21.88671875" style="157" customWidth="1"/>
    <col min="9987" max="9998" width="7.5546875" style="157" bestFit="1" customWidth="1"/>
    <col min="9999" max="10240" width="11" style="157"/>
    <col min="10241" max="10241" width="3.33203125" style="157" customWidth="1"/>
    <col min="10242" max="10242" width="21.88671875" style="157" customWidth="1"/>
    <col min="10243" max="10254" width="7.5546875" style="157" bestFit="1" customWidth="1"/>
    <col min="10255" max="10496" width="11" style="157"/>
    <col min="10497" max="10497" width="3.33203125" style="157" customWidth="1"/>
    <col min="10498" max="10498" width="21.88671875" style="157" customWidth="1"/>
    <col min="10499" max="10510" width="7.5546875" style="157" bestFit="1" customWidth="1"/>
    <col min="10511" max="10752" width="11" style="157"/>
    <col min="10753" max="10753" width="3.33203125" style="157" customWidth="1"/>
    <col min="10754" max="10754" width="21.88671875" style="157" customWidth="1"/>
    <col min="10755" max="10766" width="7.5546875" style="157" bestFit="1" customWidth="1"/>
    <col min="10767" max="11008" width="11" style="157"/>
    <col min="11009" max="11009" width="3.33203125" style="157" customWidth="1"/>
    <col min="11010" max="11010" width="21.88671875" style="157" customWidth="1"/>
    <col min="11011" max="11022" width="7.5546875" style="157" bestFit="1" customWidth="1"/>
    <col min="11023" max="11264" width="11" style="157"/>
    <col min="11265" max="11265" width="3.33203125" style="157" customWidth="1"/>
    <col min="11266" max="11266" width="21.88671875" style="157" customWidth="1"/>
    <col min="11267" max="11278" width="7.5546875" style="157" bestFit="1" customWidth="1"/>
    <col min="11279" max="11520" width="11" style="157"/>
    <col min="11521" max="11521" width="3.33203125" style="157" customWidth="1"/>
    <col min="11522" max="11522" width="21.88671875" style="157" customWidth="1"/>
    <col min="11523" max="11534" width="7.5546875" style="157" bestFit="1" customWidth="1"/>
    <col min="11535" max="11776" width="11" style="157"/>
    <col min="11777" max="11777" width="3.33203125" style="157" customWidth="1"/>
    <col min="11778" max="11778" width="21.88671875" style="157" customWidth="1"/>
    <col min="11779" max="11790" width="7.5546875" style="157" bestFit="1" customWidth="1"/>
    <col min="11791" max="12032" width="11" style="157"/>
    <col min="12033" max="12033" width="3.33203125" style="157" customWidth="1"/>
    <col min="12034" max="12034" width="21.88671875" style="157" customWidth="1"/>
    <col min="12035" max="12046" width="7.5546875" style="157" bestFit="1" customWidth="1"/>
    <col min="12047" max="12288" width="11" style="157"/>
    <col min="12289" max="12289" width="3.33203125" style="157" customWidth="1"/>
    <col min="12290" max="12290" width="21.88671875" style="157" customWidth="1"/>
    <col min="12291" max="12302" width="7.5546875" style="157" bestFit="1" customWidth="1"/>
    <col min="12303" max="12544" width="11" style="157"/>
    <col min="12545" max="12545" width="3.33203125" style="157" customWidth="1"/>
    <col min="12546" max="12546" width="21.88671875" style="157" customWidth="1"/>
    <col min="12547" max="12558" width="7.5546875" style="157" bestFit="1" customWidth="1"/>
    <col min="12559" max="12800" width="11" style="157"/>
    <col min="12801" max="12801" width="3.33203125" style="157" customWidth="1"/>
    <col min="12802" max="12802" width="21.88671875" style="157" customWidth="1"/>
    <col min="12803" max="12814" width="7.5546875" style="157" bestFit="1" customWidth="1"/>
    <col min="12815" max="13056" width="11" style="157"/>
    <col min="13057" max="13057" width="3.33203125" style="157" customWidth="1"/>
    <col min="13058" max="13058" width="21.88671875" style="157" customWidth="1"/>
    <col min="13059" max="13070" width="7.5546875" style="157" bestFit="1" customWidth="1"/>
    <col min="13071" max="13312" width="11" style="157"/>
    <col min="13313" max="13313" width="3.33203125" style="157" customWidth="1"/>
    <col min="13314" max="13314" width="21.88671875" style="157" customWidth="1"/>
    <col min="13315" max="13326" width="7.5546875" style="157" bestFit="1" customWidth="1"/>
    <col min="13327" max="13568" width="11" style="157"/>
    <col min="13569" max="13569" width="3.33203125" style="157" customWidth="1"/>
    <col min="13570" max="13570" width="21.88671875" style="157" customWidth="1"/>
    <col min="13571" max="13582" width="7.5546875" style="157" bestFit="1" customWidth="1"/>
    <col min="13583" max="13824" width="11" style="157"/>
    <col min="13825" max="13825" width="3.33203125" style="157" customWidth="1"/>
    <col min="13826" max="13826" width="21.88671875" style="157" customWidth="1"/>
    <col min="13827" max="13838" width="7.5546875" style="157" bestFit="1" customWidth="1"/>
    <col min="13839" max="14080" width="11" style="157"/>
    <col min="14081" max="14081" width="3.33203125" style="157" customWidth="1"/>
    <col min="14082" max="14082" width="21.88671875" style="157" customWidth="1"/>
    <col min="14083" max="14094" width="7.5546875" style="157" bestFit="1" customWidth="1"/>
    <col min="14095" max="14336" width="11" style="157"/>
    <col min="14337" max="14337" width="3.33203125" style="157" customWidth="1"/>
    <col min="14338" max="14338" width="21.88671875" style="157" customWidth="1"/>
    <col min="14339" max="14350" width="7.5546875" style="157" bestFit="1" customWidth="1"/>
    <col min="14351" max="14592" width="11" style="157"/>
    <col min="14593" max="14593" width="3.33203125" style="157" customWidth="1"/>
    <col min="14594" max="14594" width="21.88671875" style="157" customWidth="1"/>
    <col min="14595" max="14606" width="7.5546875" style="157" bestFit="1" customWidth="1"/>
    <col min="14607" max="14848" width="11" style="157"/>
    <col min="14849" max="14849" width="3.33203125" style="157" customWidth="1"/>
    <col min="14850" max="14850" width="21.88671875" style="157" customWidth="1"/>
    <col min="14851" max="14862" width="7.5546875" style="157" bestFit="1" customWidth="1"/>
    <col min="14863" max="15104" width="11" style="157"/>
    <col min="15105" max="15105" width="3.33203125" style="157" customWidth="1"/>
    <col min="15106" max="15106" width="21.88671875" style="157" customWidth="1"/>
    <col min="15107" max="15118" width="7.5546875" style="157" bestFit="1" customWidth="1"/>
    <col min="15119" max="15360" width="11" style="157"/>
    <col min="15361" max="15361" width="3.33203125" style="157" customWidth="1"/>
    <col min="15362" max="15362" width="21.88671875" style="157" customWidth="1"/>
    <col min="15363" max="15374" width="7.5546875" style="157" bestFit="1" customWidth="1"/>
    <col min="15375" max="15616" width="11" style="157"/>
    <col min="15617" max="15617" width="3.33203125" style="157" customWidth="1"/>
    <col min="15618" max="15618" width="21.88671875" style="157" customWidth="1"/>
    <col min="15619" max="15630" width="7.5546875" style="157" bestFit="1" customWidth="1"/>
    <col min="15631" max="15872" width="11" style="157"/>
    <col min="15873" max="15873" width="3.33203125" style="157" customWidth="1"/>
    <col min="15874" max="15874" width="21.88671875" style="157" customWidth="1"/>
    <col min="15875" max="15886" width="7.5546875" style="157" bestFit="1" customWidth="1"/>
    <col min="15887" max="16128" width="11" style="157"/>
    <col min="16129" max="16129" width="3.33203125" style="157" customWidth="1"/>
    <col min="16130" max="16130" width="21.88671875" style="157" customWidth="1"/>
    <col min="16131" max="16142" width="7.5546875" style="157" bestFit="1" customWidth="1"/>
    <col min="16143" max="16384" width="11" style="157"/>
  </cols>
  <sheetData>
    <row r="1" spans="1:34" s="110" customFormat="1" ht="18" x14ac:dyDescent="0.35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</row>
    <row r="2" spans="1:34" x14ac:dyDescent="0.15">
      <c r="A2" s="449"/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34" ht="13.8" thickBot="1" x14ac:dyDescent="0.3">
      <c r="A3" s="450" t="s">
        <v>1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</row>
    <row r="4" spans="1:34" s="71" customFormat="1" ht="10.8" thickTop="1" x14ac:dyDescent="0.2">
      <c r="A4" s="430" t="s">
        <v>2</v>
      </c>
      <c r="B4" s="447" t="s">
        <v>3</v>
      </c>
      <c r="C4" s="451" t="s">
        <v>110</v>
      </c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</row>
    <row r="5" spans="1:34" s="71" customFormat="1" ht="10.199999999999999" x14ac:dyDescent="0.2">
      <c r="A5" s="446"/>
      <c r="B5" s="448"/>
      <c r="C5" s="72" t="s">
        <v>5</v>
      </c>
      <c r="D5" s="72" t="s">
        <v>6</v>
      </c>
      <c r="E5" s="72" t="s">
        <v>7</v>
      </c>
      <c r="F5" s="72" t="s">
        <v>8</v>
      </c>
      <c r="G5" s="72" t="s">
        <v>9</v>
      </c>
      <c r="H5" s="72" t="s">
        <v>10</v>
      </c>
      <c r="I5" s="72" t="s">
        <v>11</v>
      </c>
      <c r="J5" s="72" t="s">
        <v>12</v>
      </c>
      <c r="K5" s="72" t="s">
        <v>13</v>
      </c>
      <c r="L5" s="72" t="s">
        <v>14</v>
      </c>
      <c r="M5" s="72" t="s">
        <v>15</v>
      </c>
      <c r="N5" s="158" t="s">
        <v>16</v>
      </c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</row>
    <row r="6" spans="1:34" s="71" customFormat="1" ht="10.5" customHeight="1" x14ac:dyDescent="0.2">
      <c r="A6" s="113">
        <v>1</v>
      </c>
      <c r="B6" s="114" t="s">
        <v>111</v>
      </c>
      <c r="C6" s="159">
        <v>51383.072999999997</v>
      </c>
      <c r="D6" s="159">
        <v>51383.072999999997</v>
      </c>
      <c r="E6" s="159">
        <v>52768.1</v>
      </c>
      <c r="F6" s="159">
        <v>52568.1</v>
      </c>
      <c r="G6" s="159">
        <v>52568.1</v>
      </c>
      <c r="H6" s="159">
        <v>54518.003000000004</v>
      </c>
      <c r="I6" s="159">
        <v>57141.1</v>
      </c>
      <c r="J6" s="159">
        <v>57141.1</v>
      </c>
      <c r="K6" s="159">
        <v>60103.6</v>
      </c>
      <c r="L6" s="159">
        <v>60103.506999999998</v>
      </c>
      <c r="M6" s="159">
        <v>61253.582000000002</v>
      </c>
      <c r="N6" s="160">
        <v>62970.281999999999</v>
      </c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</row>
    <row r="7" spans="1:34" s="82" customFormat="1" ht="10.5" customHeight="1" x14ac:dyDescent="0.2">
      <c r="A7" s="115"/>
      <c r="B7" s="116" t="s">
        <v>18</v>
      </c>
      <c r="C7" s="107">
        <v>50575.373</v>
      </c>
      <c r="D7" s="107">
        <v>50420.373</v>
      </c>
      <c r="E7" s="107">
        <v>51725.4</v>
      </c>
      <c r="F7" s="107">
        <v>51585.4</v>
      </c>
      <c r="G7" s="107">
        <v>51722.9</v>
      </c>
      <c r="H7" s="107">
        <v>53510.003000000004</v>
      </c>
      <c r="I7" s="107">
        <v>56133.1</v>
      </c>
      <c r="J7" s="107">
        <v>56033.1</v>
      </c>
      <c r="K7" s="107">
        <v>58718.400000000001</v>
      </c>
      <c r="L7" s="107">
        <v>58665.906999999999</v>
      </c>
      <c r="M7" s="107">
        <v>59927.906999999999</v>
      </c>
      <c r="N7" s="108">
        <v>60455.106999999996</v>
      </c>
    </row>
    <row r="8" spans="1:34" s="89" customFormat="1" ht="10.5" customHeight="1" x14ac:dyDescent="0.2">
      <c r="A8" s="117"/>
      <c r="B8" s="118" t="s">
        <v>19</v>
      </c>
      <c r="C8" s="107">
        <v>9143.7729999999992</v>
      </c>
      <c r="D8" s="107">
        <v>9333.7729999999992</v>
      </c>
      <c r="E8" s="161">
        <v>13523.8</v>
      </c>
      <c r="F8" s="161">
        <v>12953.8</v>
      </c>
      <c r="G8" s="161">
        <v>12763.8</v>
      </c>
      <c r="H8" s="161">
        <v>12563.772999999999</v>
      </c>
      <c r="I8" s="161">
        <v>15726.8</v>
      </c>
      <c r="J8" s="161">
        <v>15786.8</v>
      </c>
      <c r="K8" s="161">
        <v>17754.3</v>
      </c>
      <c r="L8" s="161">
        <v>17754.281999999999</v>
      </c>
      <c r="M8" s="161">
        <v>14164.281999999999</v>
      </c>
      <c r="N8" s="162">
        <v>9209.2819999999992</v>
      </c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</row>
    <row r="9" spans="1:34" s="89" customFormat="1" ht="10.5" customHeight="1" x14ac:dyDescent="0.2">
      <c r="A9" s="117"/>
      <c r="B9" s="118" t="s">
        <v>23</v>
      </c>
      <c r="C9" s="107">
        <v>41431.599999999999</v>
      </c>
      <c r="D9" s="107">
        <v>41086.6</v>
      </c>
      <c r="E9" s="161">
        <v>38201.599999999999</v>
      </c>
      <c r="F9" s="161">
        <v>38631.599999999999</v>
      </c>
      <c r="G9" s="161">
        <v>38959.1</v>
      </c>
      <c r="H9" s="161">
        <v>40946.230000000003</v>
      </c>
      <c r="I9" s="161">
        <v>40406.300000000003</v>
      </c>
      <c r="J9" s="161">
        <v>40246.300000000003</v>
      </c>
      <c r="K9" s="161">
        <v>40964.1</v>
      </c>
      <c r="L9" s="161">
        <v>40911.625</v>
      </c>
      <c r="M9" s="161">
        <v>45763.625</v>
      </c>
      <c r="N9" s="162">
        <v>51245.824999999997</v>
      </c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</row>
    <row r="10" spans="1:34" s="82" customFormat="1" ht="10.5" customHeight="1" x14ac:dyDescent="0.2">
      <c r="A10" s="115"/>
      <c r="B10" s="116" t="s">
        <v>24</v>
      </c>
      <c r="C10" s="107">
        <v>807.7</v>
      </c>
      <c r="D10" s="107">
        <v>962.7</v>
      </c>
      <c r="E10" s="163">
        <v>1042.7</v>
      </c>
      <c r="F10" s="163">
        <v>982.7</v>
      </c>
      <c r="G10" s="163">
        <v>845.2</v>
      </c>
      <c r="H10" s="163">
        <v>1008</v>
      </c>
      <c r="I10" s="163">
        <v>1008</v>
      </c>
      <c r="J10" s="163">
        <v>1108</v>
      </c>
      <c r="K10" s="163">
        <v>1385.2</v>
      </c>
      <c r="L10" s="163">
        <v>1437.6</v>
      </c>
      <c r="M10" s="163">
        <v>1325.675</v>
      </c>
      <c r="N10" s="164">
        <v>2515.1750000000002</v>
      </c>
    </row>
    <row r="11" spans="1:34" s="89" customFormat="1" ht="10.5" customHeight="1" x14ac:dyDescent="0.2">
      <c r="A11" s="117"/>
      <c r="B11" s="118" t="s">
        <v>25</v>
      </c>
      <c r="C11" s="86">
        <v>50</v>
      </c>
      <c r="D11" s="86">
        <v>200</v>
      </c>
      <c r="E11" s="161">
        <v>150</v>
      </c>
      <c r="F11" s="161">
        <v>150</v>
      </c>
      <c r="G11" s="161">
        <v>0</v>
      </c>
      <c r="H11" s="161">
        <v>97.8</v>
      </c>
      <c r="I11" s="161">
        <v>97.8</v>
      </c>
      <c r="J11" s="161">
        <v>197.8</v>
      </c>
      <c r="K11" s="161">
        <v>250</v>
      </c>
      <c r="L11" s="161">
        <v>250</v>
      </c>
      <c r="M11" s="161">
        <v>50</v>
      </c>
      <c r="N11" s="162">
        <v>400</v>
      </c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</row>
    <row r="12" spans="1:34" s="71" customFormat="1" ht="10.5" customHeight="1" x14ac:dyDescent="0.2">
      <c r="A12" s="113">
        <v>2</v>
      </c>
      <c r="B12" s="114" t="s">
        <v>112</v>
      </c>
      <c r="C12" s="159">
        <v>19999.2</v>
      </c>
      <c r="D12" s="159">
        <v>19999.214</v>
      </c>
      <c r="E12" s="159">
        <v>19999.2</v>
      </c>
      <c r="F12" s="159">
        <v>19999.2</v>
      </c>
      <c r="G12" s="159">
        <v>19999.2</v>
      </c>
      <c r="H12" s="159">
        <v>19999.182000000001</v>
      </c>
      <c r="I12" s="159">
        <v>19999.182000000001</v>
      </c>
      <c r="J12" s="159">
        <v>20720.599999999999</v>
      </c>
      <c r="K12" s="159">
        <v>19499.2</v>
      </c>
      <c r="L12" s="159">
        <v>17959.237999999998</v>
      </c>
      <c r="M12" s="159">
        <v>17959.237999999998</v>
      </c>
      <c r="N12" s="160">
        <v>17959.214</v>
      </c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</row>
    <row r="13" spans="1:34" s="82" customFormat="1" ht="10.5" customHeight="1" x14ac:dyDescent="0.2">
      <c r="A13" s="115"/>
      <c r="B13" s="116" t="s">
        <v>18</v>
      </c>
      <c r="C13" s="107">
        <v>9623.2000000000007</v>
      </c>
      <c r="D13" s="107">
        <v>9623.1959999999999</v>
      </c>
      <c r="E13" s="107">
        <v>9623.2000000000007</v>
      </c>
      <c r="F13" s="107">
        <v>9623.2000000000007</v>
      </c>
      <c r="G13" s="107">
        <v>9623.2000000000007</v>
      </c>
      <c r="H13" s="107">
        <v>9623.1820000000007</v>
      </c>
      <c r="I13" s="107">
        <v>9623.1820000000007</v>
      </c>
      <c r="J13" s="107">
        <v>10233.200000000001</v>
      </c>
      <c r="K13" s="107">
        <v>9082.2000000000007</v>
      </c>
      <c r="L13" s="107">
        <v>7789.7240000000002</v>
      </c>
      <c r="M13" s="107">
        <v>7789.7240000000002</v>
      </c>
      <c r="N13" s="108">
        <v>7789.6460000000006</v>
      </c>
    </row>
    <row r="14" spans="1:34" s="89" customFormat="1" ht="10.5" customHeight="1" x14ac:dyDescent="0.2">
      <c r="A14" s="117"/>
      <c r="B14" s="118" t="s">
        <v>53</v>
      </c>
      <c r="C14" s="107">
        <v>1518.7</v>
      </c>
      <c r="D14" s="107">
        <v>1518.682</v>
      </c>
      <c r="E14" s="161">
        <v>1518.7</v>
      </c>
      <c r="F14" s="161">
        <v>1518.7</v>
      </c>
      <c r="G14" s="161">
        <v>1518.7</v>
      </c>
      <c r="H14" s="161">
        <v>1518.682</v>
      </c>
      <c r="I14" s="161">
        <v>1518.682</v>
      </c>
      <c r="J14" s="161">
        <v>1518.7</v>
      </c>
      <c r="K14" s="161">
        <v>1518.7</v>
      </c>
      <c r="L14" s="161">
        <v>1518.7</v>
      </c>
      <c r="M14" s="161">
        <v>1518.7</v>
      </c>
      <c r="N14" s="162">
        <v>1518.6220000000001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</row>
    <row r="15" spans="1:34" s="89" customFormat="1" ht="10.5" customHeight="1" x14ac:dyDescent="0.2">
      <c r="A15" s="117"/>
      <c r="B15" s="118" t="s">
        <v>23</v>
      </c>
      <c r="C15" s="107">
        <v>8104.5</v>
      </c>
      <c r="D15" s="107">
        <v>8104.5140000000001</v>
      </c>
      <c r="E15" s="161">
        <v>8104.5</v>
      </c>
      <c r="F15" s="161">
        <v>8104.5</v>
      </c>
      <c r="G15" s="161">
        <v>8104.5</v>
      </c>
      <c r="H15" s="161">
        <v>8104.5</v>
      </c>
      <c r="I15" s="161">
        <v>8104.5</v>
      </c>
      <c r="J15" s="161">
        <v>8714.5</v>
      </c>
      <c r="K15" s="161">
        <v>7563.5</v>
      </c>
      <c r="L15" s="161">
        <v>6271.0240000000003</v>
      </c>
      <c r="M15" s="161">
        <v>6271.0240000000003</v>
      </c>
      <c r="N15" s="162">
        <v>6271.0240000000003</v>
      </c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</row>
    <row r="16" spans="1:34" s="82" customFormat="1" ht="10.5" customHeight="1" x14ac:dyDescent="0.2">
      <c r="A16" s="115"/>
      <c r="B16" s="116" t="s">
        <v>54</v>
      </c>
      <c r="C16" s="107">
        <v>10376</v>
      </c>
      <c r="D16" s="107">
        <v>10376.018</v>
      </c>
      <c r="E16" s="163">
        <v>10376</v>
      </c>
      <c r="F16" s="163">
        <v>10376</v>
      </c>
      <c r="G16" s="163">
        <v>10376</v>
      </c>
      <c r="H16" s="163">
        <v>10376</v>
      </c>
      <c r="I16" s="163">
        <v>10376</v>
      </c>
      <c r="J16" s="163">
        <v>10487.4</v>
      </c>
      <c r="K16" s="163">
        <v>10417</v>
      </c>
      <c r="L16" s="163">
        <v>10169.513999999999</v>
      </c>
      <c r="M16" s="163">
        <v>10169.513999999999</v>
      </c>
      <c r="N16" s="164">
        <v>10169.567999999999</v>
      </c>
    </row>
    <row r="17" spans="1:34" s="71" customFormat="1" ht="10.5" customHeight="1" x14ac:dyDescent="0.2">
      <c r="A17" s="113">
        <v>3</v>
      </c>
      <c r="B17" s="114" t="s">
        <v>113</v>
      </c>
      <c r="C17" s="159">
        <v>6576.759</v>
      </c>
      <c r="D17" s="159">
        <v>6576.759</v>
      </c>
      <c r="E17" s="159">
        <v>6576.8</v>
      </c>
      <c r="F17" s="159">
        <v>6576.8</v>
      </c>
      <c r="G17" s="159">
        <v>6576.8</v>
      </c>
      <c r="H17" s="159">
        <v>5576.8</v>
      </c>
      <c r="I17" s="159">
        <v>5189.3</v>
      </c>
      <c r="J17" s="159">
        <v>5189.259</v>
      </c>
      <c r="K17" s="159">
        <v>4089.3</v>
      </c>
      <c r="L17" s="159">
        <v>4089.2429999999999</v>
      </c>
      <c r="M17" s="159">
        <v>3876.759</v>
      </c>
      <c r="N17" s="160">
        <v>3876.759</v>
      </c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</row>
    <row r="18" spans="1:34" s="82" customFormat="1" ht="10.5" customHeight="1" x14ac:dyDescent="0.2">
      <c r="A18" s="115"/>
      <c r="B18" s="116" t="s">
        <v>18</v>
      </c>
      <c r="C18" s="107">
        <v>231.35599999999999</v>
      </c>
      <c r="D18" s="107">
        <v>233.976</v>
      </c>
      <c r="E18" s="107">
        <v>234</v>
      </c>
      <c r="F18" s="107">
        <v>234.5</v>
      </c>
      <c r="G18" s="107">
        <v>234.5</v>
      </c>
      <c r="H18" s="107">
        <v>234.5</v>
      </c>
      <c r="I18" s="107">
        <v>234.5</v>
      </c>
      <c r="J18" s="107">
        <v>234.976</v>
      </c>
      <c r="K18" s="107">
        <v>233.5</v>
      </c>
      <c r="L18" s="107">
        <v>254.38399999999999</v>
      </c>
      <c r="M18" s="107">
        <v>254.38399999999999</v>
      </c>
      <c r="N18" s="108">
        <v>254.38399999999999</v>
      </c>
    </row>
    <row r="19" spans="1:34" s="89" customFormat="1" ht="10.5" customHeight="1" x14ac:dyDescent="0.2">
      <c r="A19" s="117"/>
      <c r="B19" s="118" t="s">
        <v>19</v>
      </c>
      <c r="C19" s="107">
        <v>231.35599999999999</v>
      </c>
      <c r="D19" s="107">
        <v>233.976</v>
      </c>
      <c r="E19" s="161">
        <v>234</v>
      </c>
      <c r="F19" s="161">
        <v>234.5</v>
      </c>
      <c r="G19" s="161">
        <v>234.5</v>
      </c>
      <c r="H19" s="161">
        <v>234.476</v>
      </c>
      <c r="I19" s="161">
        <v>234.476</v>
      </c>
      <c r="J19" s="161">
        <v>234.976</v>
      </c>
      <c r="K19" s="161">
        <v>233.5</v>
      </c>
      <c r="L19" s="161">
        <v>254.38399999999999</v>
      </c>
      <c r="M19" s="161">
        <v>254.38399999999999</v>
      </c>
      <c r="N19" s="162">
        <v>254.38399999999999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</row>
    <row r="20" spans="1:34" s="89" customFormat="1" ht="10.5" customHeight="1" x14ac:dyDescent="0.2">
      <c r="A20" s="117"/>
      <c r="B20" s="118" t="s">
        <v>23</v>
      </c>
      <c r="C20" s="107">
        <v>0</v>
      </c>
      <c r="D20" s="107">
        <v>0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2">
        <v>0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</row>
    <row r="21" spans="1:34" s="82" customFormat="1" ht="10.5" customHeight="1" x14ac:dyDescent="0.2">
      <c r="A21" s="115"/>
      <c r="B21" s="116" t="s">
        <v>55</v>
      </c>
      <c r="C21" s="107">
        <v>6345.4030000000002</v>
      </c>
      <c r="D21" s="107">
        <v>6342.7830000000004</v>
      </c>
      <c r="E21" s="163">
        <v>6342.8</v>
      </c>
      <c r="F21" s="163">
        <v>6342.3</v>
      </c>
      <c r="G21" s="163">
        <v>6342.3</v>
      </c>
      <c r="H21" s="163">
        <v>5342.3</v>
      </c>
      <c r="I21" s="163">
        <v>4954.8</v>
      </c>
      <c r="J21" s="163">
        <v>4954.2830000000004</v>
      </c>
      <c r="K21" s="163">
        <v>3855.8</v>
      </c>
      <c r="L21" s="163">
        <v>3834.8589999999999</v>
      </c>
      <c r="M21" s="163">
        <v>3622.375</v>
      </c>
      <c r="N21" s="164">
        <v>3622.375</v>
      </c>
    </row>
    <row r="22" spans="1:34" s="82" customFormat="1" ht="10.5" customHeight="1" x14ac:dyDescent="0.2">
      <c r="A22" s="113">
        <v>4</v>
      </c>
      <c r="B22" s="114" t="s">
        <v>114</v>
      </c>
      <c r="C22" s="159">
        <v>1428.8969999999999</v>
      </c>
      <c r="D22" s="159">
        <v>1428.8869999999999</v>
      </c>
      <c r="E22" s="159">
        <v>1428.9</v>
      </c>
      <c r="F22" s="159">
        <v>1428.9</v>
      </c>
      <c r="G22" s="159">
        <v>1428.9</v>
      </c>
      <c r="H22" s="159">
        <v>1428.9</v>
      </c>
      <c r="I22" s="159">
        <v>1428.9</v>
      </c>
      <c r="J22" s="159">
        <v>1678.8790000000001</v>
      </c>
      <c r="K22" s="159">
        <v>1678.9</v>
      </c>
      <c r="L22" s="159">
        <v>1678.877</v>
      </c>
      <c r="M22" s="159">
        <v>1678.8789999999999</v>
      </c>
      <c r="N22" s="160">
        <v>1678.8789999999999</v>
      </c>
    </row>
    <row r="23" spans="1:34" s="82" customFormat="1" ht="10.5" customHeight="1" x14ac:dyDescent="0.2">
      <c r="A23" s="115"/>
      <c r="B23" s="116" t="s">
        <v>18</v>
      </c>
      <c r="C23" s="107">
        <v>49.6</v>
      </c>
      <c r="D23" s="107">
        <v>50.1</v>
      </c>
      <c r="E23" s="107">
        <v>50.1</v>
      </c>
      <c r="F23" s="107">
        <v>50.2</v>
      </c>
      <c r="G23" s="107">
        <v>50.2</v>
      </c>
      <c r="H23" s="107">
        <v>50.2</v>
      </c>
      <c r="I23" s="107">
        <v>50.2</v>
      </c>
      <c r="J23" s="107">
        <v>50.152000000000001</v>
      </c>
      <c r="K23" s="107">
        <v>54.8</v>
      </c>
      <c r="L23" s="107">
        <v>54.8</v>
      </c>
      <c r="M23" s="107">
        <v>55.302</v>
      </c>
      <c r="N23" s="108">
        <v>55.322000000000003</v>
      </c>
    </row>
    <row r="24" spans="1:34" s="89" customFormat="1" ht="10.5" customHeight="1" x14ac:dyDescent="0.2">
      <c r="A24" s="117"/>
      <c r="B24" s="118" t="s">
        <v>19</v>
      </c>
      <c r="C24" s="86">
        <v>49.6</v>
      </c>
      <c r="D24" s="86">
        <v>50.091999999999999</v>
      </c>
      <c r="E24" s="161">
        <v>50.1</v>
      </c>
      <c r="F24" s="161">
        <v>50.2</v>
      </c>
      <c r="G24" s="161">
        <v>50.2</v>
      </c>
      <c r="H24" s="161">
        <v>50.2</v>
      </c>
      <c r="I24" s="161">
        <v>50.2</v>
      </c>
      <c r="J24" s="161">
        <v>50.152000000000001</v>
      </c>
      <c r="K24" s="161">
        <v>54.8</v>
      </c>
      <c r="L24" s="161">
        <v>54.8</v>
      </c>
      <c r="M24" s="161">
        <v>55.302</v>
      </c>
      <c r="N24" s="162">
        <v>55.322000000000003</v>
      </c>
    </row>
    <row r="25" spans="1:34" s="82" customFormat="1" ht="10.5" customHeight="1" x14ac:dyDescent="0.2">
      <c r="A25" s="115"/>
      <c r="B25" s="116" t="s">
        <v>85</v>
      </c>
      <c r="C25" s="163">
        <v>1379.297</v>
      </c>
      <c r="D25" s="163">
        <v>1378.787</v>
      </c>
      <c r="E25" s="163">
        <v>1378.8</v>
      </c>
      <c r="F25" s="163">
        <v>1378.7</v>
      </c>
      <c r="G25" s="163">
        <v>1378.7</v>
      </c>
      <c r="H25" s="163">
        <v>1378.7</v>
      </c>
      <c r="I25" s="163">
        <v>1378.7</v>
      </c>
      <c r="J25" s="163">
        <v>1628.7270000000001</v>
      </c>
      <c r="K25" s="163">
        <v>1624.1</v>
      </c>
      <c r="L25" s="163">
        <v>1624.077</v>
      </c>
      <c r="M25" s="163">
        <v>1623.577</v>
      </c>
      <c r="N25" s="164">
        <v>1623.557</v>
      </c>
    </row>
    <row r="26" spans="1:34" s="71" customFormat="1" ht="10.5" customHeight="1" x14ac:dyDescent="0.2">
      <c r="A26" s="113">
        <v>5</v>
      </c>
      <c r="B26" s="114" t="s">
        <v>115</v>
      </c>
      <c r="C26" s="159">
        <v>3454.0389999999998</v>
      </c>
      <c r="D26" s="159">
        <v>3454.0389999999998</v>
      </c>
      <c r="E26" s="159">
        <v>3454</v>
      </c>
      <c r="F26" s="159">
        <v>3454</v>
      </c>
      <c r="G26" s="159">
        <v>3454</v>
      </c>
      <c r="H26" s="159">
        <v>3465.6</v>
      </c>
      <c r="I26" s="159">
        <v>3465.6</v>
      </c>
      <c r="J26" s="159">
        <v>3465.627</v>
      </c>
      <c r="K26" s="159">
        <v>3465.6</v>
      </c>
      <c r="L26" s="159">
        <v>3465.627</v>
      </c>
      <c r="M26" s="159">
        <v>3469.7739999999999</v>
      </c>
      <c r="N26" s="160">
        <v>3469.7739999999999</v>
      </c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</row>
    <row r="27" spans="1:34" s="82" customFormat="1" ht="10.5" customHeight="1" x14ac:dyDescent="0.2">
      <c r="A27" s="115"/>
      <c r="B27" s="116" t="s">
        <v>18</v>
      </c>
      <c r="C27" s="107">
        <v>944.6</v>
      </c>
      <c r="D27" s="107">
        <v>944.6</v>
      </c>
      <c r="E27" s="107">
        <v>944.6</v>
      </c>
      <c r="F27" s="107">
        <v>944.6</v>
      </c>
      <c r="G27" s="107">
        <v>944.6</v>
      </c>
      <c r="H27" s="107">
        <v>944.6</v>
      </c>
      <c r="I27" s="107">
        <v>944.6</v>
      </c>
      <c r="J27" s="107">
        <v>944.6</v>
      </c>
      <c r="K27" s="107">
        <v>944.6</v>
      </c>
      <c r="L27" s="107">
        <v>944.6</v>
      </c>
      <c r="M27" s="107">
        <v>944.6</v>
      </c>
      <c r="N27" s="108">
        <v>944.6</v>
      </c>
    </row>
    <row r="28" spans="1:34" s="89" customFormat="1" ht="10.5" customHeight="1" x14ac:dyDescent="0.2">
      <c r="A28" s="117"/>
      <c r="B28" s="118" t="s">
        <v>116</v>
      </c>
      <c r="C28" s="86">
        <v>944.6</v>
      </c>
      <c r="D28" s="86">
        <v>944.6</v>
      </c>
      <c r="E28" s="161">
        <v>944.6</v>
      </c>
      <c r="F28" s="161">
        <v>944.6</v>
      </c>
      <c r="G28" s="161">
        <v>944.6</v>
      </c>
      <c r="H28" s="161">
        <v>944.6</v>
      </c>
      <c r="I28" s="161">
        <v>944.6</v>
      </c>
      <c r="J28" s="161">
        <v>944.6</v>
      </c>
      <c r="K28" s="161">
        <v>944.6</v>
      </c>
      <c r="L28" s="161">
        <v>944.6</v>
      </c>
      <c r="M28" s="161">
        <v>944.6</v>
      </c>
      <c r="N28" s="162">
        <v>944.6</v>
      </c>
    </row>
    <row r="29" spans="1:34" s="82" customFormat="1" ht="10.5" customHeight="1" x14ac:dyDescent="0.2">
      <c r="A29" s="115"/>
      <c r="B29" s="116" t="s">
        <v>36</v>
      </c>
      <c r="C29" s="107">
        <v>2509.4389999999999</v>
      </c>
      <c r="D29" s="107">
        <v>2509.4389999999999</v>
      </c>
      <c r="E29" s="163">
        <v>2509.4</v>
      </c>
      <c r="F29" s="163">
        <v>2509.4</v>
      </c>
      <c r="G29" s="163">
        <v>2509.4</v>
      </c>
      <c r="H29" s="163">
        <v>2521</v>
      </c>
      <c r="I29" s="163">
        <v>2521</v>
      </c>
      <c r="J29" s="163">
        <v>2521.027</v>
      </c>
      <c r="K29" s="163">
        <v>2521</v>
      </c>
      <c r="L29" s="163">
        <v>2521.027</v>
      </c>
      <c r="M29" s="163">
        <v>2525.174</v>
      </c>
      <c r="N29" s="164">
        <v>2525.174</v>
      </c>
    </row>
    <row r="30" spans="1:34" s="82" customFormat="1" ht="10.5" customHeight="1" x14ac:dyDescent="0.2">
      <c r="A30" s="115"/>
      <c r="B30" s="116" t="s">
        <v>98</v>
      </c>
      <c r="C30" s="107">
        <v>1035.941</v>
      </c>
      <c r="D30" s="107">
        <v>1035.941</v>
      </c>
      <c r="E30" s="163">
        <v>1035.9000000000001</v>
      </c>
      <c r="F30" s="163">
        <v>1035.9000000000001</v>
      </c>
      <c r="G30" s="163">
        <v>1035.9000000000001</v>
      </c>
      <c r="H30" s="163">
        <v>1047.529</v>
      </c>
      <c r="I30" s="163">
        <v>1047.529</v>
      </c>
      <c r="J30" s="163">
        <v>1047.5</v>
      </c>
      <c r="K30" s="163">
        <v>1047.5</v>
      </c>
      <c r="L30" s="163">
        <v>1047.5</v>
      </c>
      <c r="M30" s="163">
        <v>1051.7</v>
      </c>
      <c r="N30" s="164">
        <v>1051.8</v>
      </c>
    </row>
    <row r="31" spans="1:34" s="71" customFormat="1" ht="10.5" customHeight="1" x14ac:dyDescent="0.2">
      <c r="A31" s="119">
        <v>6</v>
      </c>
      <c r="B31" s="114" t="s">
        <v>69</v>
      </c>
      <c r="C31" s="159">
        <v>-1006.3</v>
      </c>
      <c r="D31" s="159">
        <v>-2049.4</v>
      </c>
      <c r="E31" s="165">
        <v>317.5</v>
      </c>
      <c r="F31" s="165">
        <v>1425.6</v>
      </c>
      <c r="G31" s="165">
        <v>347.9</v>
      </c>
      <c r="H31" s="165">
        <v>-3207.9</v>
      </c>
      <c r="I31" s="165">
        <v>-5630.7</v>
      </c>
      <c r="J31" s="165">
        <v>-5522.6</v>
      </c>
      <c r="K31" s="165">
        <v>-7017.7</v>
      </c>
      <c r="L31" s="165">
        <v>-4802.8</v>
      </c>
      <c r="M31" s="165">
        <v>-3392.4</v>
      </c>
      <c r="N31" s="166">
        <v>1071</v>
      </c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</row>
    <row r="32" spans="1:34" s="82" customFormat="1" ht="10.5" customHeight="1" x14ac:dyDescent="0.2">
      <c r="A32" s="115"/>
      <c r="B32" s="116" t="s">
        <v>70</v>
      </c>
      <c r="C32" s="107">
        <v>-1006.3</v>
      </c>
      <c r="D32" s="107">
        <v>-2049.4</v>
      </c>
      <c r="E32" s="163">
        <v>317.5</v>
      </c>
      <c r="F32" s="163">
        <v>1425.6</v>
      </c>
      <c r="G32" s="163">
        <v>347.9</v>
      </c>
      <c r="H32" s="163">
        <v>-3207.9</v>
      </c>
      <c r="I32" s="163">
        <v>-5630.7</v>
      </c>
      <c r="J32" s="163">
        <v>-5522.6</v>
      </c>
      <c r="K32" s="163">
        <v>-7017.7</v>
      </c>
      <c r="L32" s="163">
        <v>-4802.8</v>
      </c>
      <c r="M32" s="163">
        <v>-3392.4</v>
      </c>
      <c r="N32" s="164">
        <v>1071</v>
      </c>
    </row>
    <row r="33" spans="1:34" s="71" customFormat="1" ht="10.5" customHeight="1" x14ac:dyDescent="0.2">
      <c r="A33" s="113">
        <v>7</v>
      </c>
      <c r="B33" s="114" t="s">
        <v>117</v>
      </c>
      <c r="C33" s="159">
        <v>81835.668000000005</v>
      </c>
      <c r="D33" s="159">
        <v>80792.563999999998</v>
      </c>
      <c r="E33" s="159">
        <v>84544.5</v>
      </c>
      <c r="F33" s="159">
        <v>85452.6</v>
      </c>
      <c r="G33" s="159">
        <v>84374.9</v>
      </c>
      <c r="H33" s="159">
        <v>81780.561000000002</v>
      </c>
      <c r="I33" s="159">
        <v>81593.358000000007</v>
      </c>
      <c r="J33" s="159">
        <v>82672.864999999991</v>
      </c>
      <c r="K33" s="159">
        <v>81818.899999999994</v>
      </c>
      <c r="L33" s="159">
        <v>82493.691999999981</v>
      </c>
      <c r="M33" s="159">
        <v>84845.831999999995</v>
      </c>
      <c r="N33" s="160">
        <v>91025.907999999996</v>
      </c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</row>
    <row r="34" spans="1:34" s="82" customFormat="1" ht="10.5" customHeight="1" x14ac:dyDescent="0.2">
      <c r="A34" s="120"/>
      <c r="B34" s="116" t="s">
        <v>18</v>
      </c>
      <c r="C34" s="107">
        <v>60417.828999999998</v>
      </c>
      <c r="D34" s="107">
        <v>59222.837</v>
      </c>
      <c r="E34" s="107">
        <v>62894.8</v>
      </c>
      <c r="F34" s="107">
        <v>63863.5</v>
      </c>
      <c r="G34" s="107">
        <v>62923.3</v>
      </c>
      <c r="H34" s="107">
        <v>61154.561000000002</v>
      </c>
      <c r="I34" s="107">
        <v>61354.858</v>
      </c>
      <c r="J34" s="107">
        <v>61973.428</v>
      </c>
      <c r="K34" s="107">
        <v>62015.8</v>
      </c>
      <c r="L34" s="107">
        <v>62906.614999999991</v>
      </c>
      <c r="M34" s="107">
        <v>65579.516999999993</v>
      </c>
      <c r="N34" s="108">
        <v>70570.058999999994</v>
      </c>
    </row>
    <row r="35" spans="1:34" s="89" customFormat="1" ht="10.5" customHeight="1" x14ac:dyDescent="0.2">
      <c r="A35" s="121"/>
      <c r="B35" s="118" t="s">
        <v>19</v>
      </c>
      <c r="C35" s="86">
        <v>9937.1290000000008</v>
      </c>
      <c r="D35" s="86">
        <v>9087.1230000000014</v>
      </c>
      <c r="E35" s="86">
        <v>15644.1</v>
      </c>
      <c r="F35" s="86">
        <v>16182.8</v>
      </c>
      <c r="G35" s="86">
        <v>14915.1</v>
      </c>
      <c r="H35" s="86">
        <v>11159.231000000002</v>
      </c>
      <c r="I35" s="86">
        <v>11899.457999999999</v>
      </c>
      <c r="J35" s="86">
        <v>12068.027999999998</v>
      </c>
      <c r="K35" s="86">
        <v>12543.6</v>
      </c>
      <c r="L35" s="86">
        <v>14779.365999999998</v>
      </c>
      <c r="M35" s="86">
        <v>12600.268</v>
      </c>
      <c r="N35" s="106">
        <v>12108.61</v>
      </c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</row>
    <row r="36" spans="1:34" s="89" customFormat="1" ht="10.5" customHeight="1" x14ac:dyDescent="0.2">
      <c r="A36" s="121"/>
      <c r="B36" s="118" t="s">
        <v>23</v>
      </c>
      <c r="C36" s="86">
        <v>50480.7</v>
      </c>
      <c r="D36" s="86">
        <v>50135.714</v>
      </c>
      <c r="E36" s="86">
        <v>47250.7</v>
      </c>
      <c r="F36" s="86">
        <v>47680.7</v>
      </c>
      <c r="G36" s="86">
        <v>48008.2</v>
      </c>
      <c r="H36" s="86">
        <v>49995.33</v>
      </c>
      <c r="I36" s="86">
        <v>49455.4</v>
      </c>
      <c r="J36" s="86">
        <v>49905.4</v>
      </c>
      <c r="K36" s="86">
        <v>49472.2</v>
      </c>
      <c r="L36" s="86">
        <v>48127.248999999996</v>
      </c>
      <c r="M36" s="86">
        <v>52979.248999999996</v>
      </c>
      <c r="N36" s="106">
        <v>58461.448999999993</v>
      </c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</row>
    <row r="37" spans="1:34" s="82" customFormat="1" ht="10.5" customHeight="1" x14ac:dyDescent="0.2">
      <c r="A37" s="120"/>
      <c r="B37" s="116" t="s">
        <v>24</v>
      </c>
      <c r="C37" s="107">
        <v>21417.839</v>
      </c>
      <c r="D37" s="107">
        <v>21569.726999999999</v>
      </c>
      <c r="E37" s="107">
        <v>21649.7</v>
      </c>
      <c r="F37" s="107">
        <v>21589.1</v>
      </c>
      <c r="G37" s="107">
        <v>21451.599999999999</v>
      </c>
      <c r="H37" s="107">
        <v>20626</v>
      </c>
      <c r="I37" s="107">
        <v>20238.5</v>
      </c>
      <c r="J37" s="107">
        <v>20699.436999999998</v>
      </c>
      <c r="K37" s="107">
        <v>19803.099999999999</v>
      </c>
      <c r="L37" s="107">
        <v>19587.076999999997</v>
      </c>
      <c r="M37" s="107">
        <v>19266.314999999999</v>
      </c>
      <c r="N37" s="108">
        <v>20455.848999999998</v>
      </c>
    </row>
    <row r="38" spans="1:34" s="171" customFormat="1" ht="10.5" customHeight="1" thickBot="1" x14ac:dyDescent="0.25">
      <c r="A38" s="122"/>
      <c r="B38" s="123" t="s">
        <v>25</v>
      </c>
      <c r="C38" s="167">
        <v>50</v>
      </c>
      <c r="D38" s="167">
        <v>200</v>
      </c>
      <c r="E38" s="168">
        <v>150</v>
      </c>
      <c r="F38" s="168">
        <v>150</v>
      </c>
      <c r="G38" s="168">
        <v>0</v>
      </c>
      <c r="H38" s="168">
        <v>97.8</v>
      </c>
      <c r="I38" s="168">
        <v>97.8</v>
      </c>
      <c r="J38" s="168">
        <v>197.8</v>
      </c>
      <c r="K38" s="168">
        <v>250</v>
      </c>
      <c r="L38" s="168">
        <v>250</v>
      </c>
      <c r="M38" s="168">
        <v>50</v>
      </c>
      <c r="N38" s="169">
        <v>400</v>
      </c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</row>
    <row r="39" spans="1:34" s="82" customFormat="1" ht="10.5" customHeight="1" thickTop="1" x14ac:dyDescent="0.2">
      <c r="A39" s="172" t="s">
        <v>21</v>
      </c>
      <c r="B39" s="100" t="s">
        <v>58</v>
      </c>
    </row>
    <row r="40" spans="1:34" s="82" customFormat="1" ht="10.5" customHeight="1" x14ac:dyDescent="0.2">
      <c r="A40" s="136" t="s">
        <v>59</v>
      </c>
      <c r="B40" s="100" t="s">
        <v>118</v>
      </c>
      <c r="D40" s="136"/>
      <c r="E40" s="100"/>
      <c r="I40" s="136"/>
      <c r="J40" s="100"/>
    </row>
    <row r="41" spans="1:34" s="82" customFormat="1" ht="10.5" customHeight="1" x14ac:dyDescent="0.2">
      <c r="A41" s="136" t="s">
        <v>61</v>
      </c>
      <c r="B41" s="100" t="s">
        <v>106</v>
      </c>
      <c r="D41" s="136"/>
      <c r="E41" s="100"/>
      <c r="I41" s="136"/>
      <c r="J41" s="100"/>
    </row>
    <row r="42" spans="1:34" s="82" customFormat="1" ht="10.5" customHeight="1" x14ac:dyDescent="0.2">
      <c r="A42" s="102" t="s">
        <v>103</v>
      </c>
    </row>
    <row r="43" spans="1:34" ht="12.75" customHeight="1" x14ac:dyDescent="0.15">
      <c r="D43" s="174"/>
    </row>
    <row r="44" spans="1:34" ht="10.5" hidden="1" customHeight="1" x14ac:dyDescent="0.15">
      <c r="A44" s="175"/>
      <c r="B44" s="176" t="s">
        <v>108</v>
      </c>
    </row>
    <row r="45" spans="1:34" ht="10.5" hidden="1" customHeight="1" x14ac:dyDescent="0.15">
      <c r="A45" s="175"/>
      <c r="B45" s="176" t="s">
        <v>109</v>
      </c>
    </row>
    <row r="46" spans="1:34" ht="12.75" customHeight="1" x14ac:dyDescent="0.15"/>
    <row r="47" spans="1:34" ht="12.75" customHeight="1" x14ac:dyDescent="0.15"/>
    <row r="48" spans="1:34" x14ac:dyDescent="0.15">
      <c r="A48" s="175"/>
      <c r="B48" s="176"/>
    </row>
    <row r="49" spans="1:2" x14ac:dyDescent="0.15">
      <c r="A49" s="175"/>
      <c r="B49" s="176"/>
    </row>
    <row r="50" spans="1:2" x14ac:dyDescent="0.15">
      <c r="A50" s="175"/>
      <c r="B50" s="176"/>
    </row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ODD 1997-98</vt:lpstr>
      <vt:lpstr>ODD 1998-99</vt:lpstr>
      <vt:lpstr>ODD 1999-00</vt:lpstr>
      <vt:lpstr>ODD 2000-01</vt:lpstr>
      <vt:lpstr>ODD 2001-02</vt:lpstr>
      <vt:lpstr>ODD 2002-03</vt:lpstr>
      <vt:lpstr>ODD 2003-04</vt:lpstr>
      <vt:lpstr>ODD 2004-05</vt:lpstr>
      <vt:lpstr>ODD 2005-06</vt:lpstr>
      <vt:lpstr>ODD 2006-07 to 2010-11</vt:lpstr>
      <vt:lpstr>ODD 2011-12 to 2012-13</vt:lpstr>
      <vt:lpstr>ODD 2013-14 to 2014-15</vt:lpstr>
      <vt:lpstr>ODD 2015-16</vt:lpstr>
      <vt:lpstr>ODD 2016-17</vt:lpstr>
      <vt:lpstr>ODD 2017-18</vt:lpstr>
      <vt:lpstr>ODD 2018-19</vt:lpstr>
      <vt:lpstr>ODD 2019-20</vt:lpstr>
      <vt:lpstr>ODD 2020-21</vt:lpstr>
      <vt:lpstr>ODD 2021-22</vt:lpstr>
      <vt:lpstr>ODD 2022-23</vt:lpstr>
      <vt:lpstr>ODD 2023-24</vt:lpstr>
      <vt:lpstr>ODD 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Alisha Manandhar</cp:lastModifiedBy>
  <dcterms:created xsi:type="dcterms:W3CDTF">2022-03-02T04:47:06Z</dcterms:created>
  <dcterms:modified xsi:type="dcterms:W3CDTF">2025-05-07T09:42:20Z</dcterms:modified>
</cp:coreProperties>
</file>